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3900" yWindow="150" windowWidth="17700" windowHeight="15600"/>
  </bookViews>
  <sheets>
    <sheet name="計算表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B28" i="1" l="1"/>
  <c r="I28" i="1"/>
  <c r="M35" i="1" l="1"/>
  <c r="M25" i="1"/>
  <c r="M24" i="1"/>
  <c r="M23" i="1"/>
  <c r="M22" i="1"/>
  <c r="L39" i="1" l="1"/>
  <c r="L38" i="1"/>
  <c r="L37" i="1"/>
  <c r="K39" i="1"/>
  <c r="M39" i="1" s="1"/>
  <c r="K38" i="1"/>
  <c r="M38" i="1" s="1"/>
  <c r="K37" i="1"/>
  <c r="M37" i="1" s="1"/>
  <c r="M36" i="1"/>
  <c r="M34" i="1"/>
  <c r="M33" i="1"/>
  <c r="L36" i="1"/>
  <c r="L35" i="1"/>
  <c r="L34" i="1"/>
  <c r="L33" i="1"/>
  <c r="L32" i="1"/>
  <c r="K36" i="1"/>
  <c r="K35" i="1"/>
  <c r="K34" i="1"/>
  <c r="K33" i="1"/>
  <c r="K32" i="1"/>
  <c r="L28" i="1"/>
  <c r="L27" i="1"/>
  <c r="L26" i="1"/>
  <c r="L25" i="1"/>
  <c r="L24" i="1"/>
  <c r="L23" i="1"/>
  <c r="L22" i="1"/>
  <c r="L21" i="1"/>
  <c r="K28" i="1"/>
  <c r="M28" i="1" s="1"/>
  <c r="K27" i="1"/>
  <c r="M27" i="1" s="1"/>
  <c r="K26" i="1"/>
  <c r="M26" i="1" s="1"/>
  <c r="K25" i="1"/>
  <c r="K24" i="1"/>
  <c r="K23" i="1"/>
  <c r="K22" i="1"/>
  <c r="K21" i="1"/>
  <c r="AJ44" i="1" l="1"/>
  <c r="AI43" i="1"/>
  <c r="AJ43" i="1" s="1"/>
  <c r="AJ42" i="1"/>
  <c r="AI41" i="1"/>
  <c r="AJ41" i="1" s="1"/>
  <c r="AI40" i="1"/>
  <c r="AJ40" i="1" s="1"/>
  <c r="AI39" i="1"/>
  <c r="AJ39" i="1" s="1"/>
  <c r="N39" i="1" l="1"/>
  <c r="N38" i="1"/>
  <c r="B21" i="1"/>
  <c r="B10" i="1"/>
  <c r="B37" i="1" l="1"/>
  <c r="I30" i="1"/>
  <c r="F26" i="1"/>
  <c r="F25" i="1"/>
  <c r="F24" i="1"/>
  <c r="F23" i="1"/>
  <c r="F21" i="1"/>
  <c r="F22" i="1"/>
  <c r="N19" i="1"/>
  <c r="N30" i="1"/>
  <c r="H24" i="1"/>
  <c r="G25" i="1"/>
  <c r="G23" i="1"/>
  <c r="G22" i="1"/>
  <c r="I19" i="1"/>
  <c r="H23" i="1"/>
  <c r="H22" i="1"/>
  <c r="G24" i="1"/>
  <c r="G21" i="1"/>
  <c r="H25" i="1"/>
  <c r="B32" i="1"/>
  <c r="M12" i="1"/>
  <c r="M14" i="1"/>
  <c r="M13" i="1"/>
  <c r="M11" i="1"/>
  <c r="L17" i="1"/>
  <c r="L16" i="1"/>
  <c r="L15" i="1"/>
  <c r="L14" i="1"/>
  <c r="L13" i="1"/>
  <c r="L12" i="1"/>
  <c r="L11" i="1"/>
  <c r="L10" i="1"/>
  <c r="K17" i="1"/>
  <c r="M17" i="1" s="1"/>
  <c r="K16" i="1"/>
  <c r="M16" i="1" s="1"/>
  <c r="K15" i="1"/>
  <c r="M15" i="1" s="1"/>
  <c r="K14" i="1"/>
  <c r="K13" i="1"/>
  <c r="K12" i="1"/>
  <c r="K11" i="1"/>
  <c r="K10" i="1"/>
  <c r="F36" i="1" l="1"/>
  <c r="F37" i="1"/>
  <c r="H34" i="1"/>
  <c r="H33" i="1"/>
  <c r="H36" i="1"/>
  <c r="H35" i="1"/>
  <c r="G36" i="1"/>
  <c r="G34" i="1"/>
  <c r="G35" i="1"/>
  <c r="G33" i="1"/>
  <c r="G32" i="1"/>
  <c r="F34" i="1"/>
  <c r="F33" i="1"/>
  <c r="F35" i="1"/>
  <c r="F32" i="1"/>
  <c r="N37" i="1"/>
  <c r="N26" i="1"/>
  <c r="N34" i="1"/>
  <c r="N12" i="1"/>
  <c r="N15" i="1"/>
  <c r="N11" i="1"/>
  <c r="N14" i="1"/>
  <c r="N16" i="1"/>
  <c r="N13" i="1"/>
  <c r="N24" i="1"/>
  <c r="N36" i="1"/>
  <c r="N17" i="1"/>
  <c r="N25" i="1"/>
  <c r="N33" i="1"/>
  <c r="N23" i="1"/>
  <c r="N22" i="1"/>
  <c r="N35" i="1"/>
  <c r="N28" i="1"/>
  <c r="N27" i="1"/>
  <c r="D9" i="1" l="1"/>
  <c r="F15" i="1"/>
  <c r="D20" i="1" l="1"/>
  <c r="H14" i="1"/>
  <c r="D21" i="1" l="1"/>
  <c r="D36" i="1"/>
  <c r="D31" i="1"/>
  <c r="I8" i="1"/>
  <c r="F10" i="1"/>
  <c r="H11" i="1"/>
  <c r="H13" i="1"/>
  <c r="G13" i="1"/>
  <c r="G10" i="1"/>
  <c r="F14" i="1"/>
  <c r="G14" i="1"/>
  <c r="F12" i="1"/>
  <c r="G12" i="1"/>
  <c r="N8" i="1"/>
  <c r="D10" i="1" s="1"/>
  <c r="H12" i="1"/>
  <c r="F11" i="1"/>
  <c r="G11" i="1"/>
  <c r="F13" i="1"/>
  <c r="D32" i="1" l="1"/>
  <c r="I14" i="1"/>
  <c r="I13" i="1"/>
  <c r="I12" i="1"/>
  <c r="I11" i="1"/>
  <c r="C10" i="1" l="1"/>
  <c r="C11" i="1" s="1"/>
  <c r="I25" i="1" l="1"/>
  <c r="I23" i="1"/>
  <c r="I22" i="1"/>
  <c r="I24" i="1"/>
  <c r="D11" i="1"/>
  <c r="D12" i="1" s="1"/>
  <c r="C21" i="1" l="1"/>
  <c r="C22" i="1" s="1"/>
  <c r="D33" i="1"/>
  <c r="D34" i="1" s="1"/>
  <c r="I33" i="1"/>
  <c r="I35" i="1"/>
  <c r="I36" i="1"/>
  <c r="I34" i="1"/>
  <c r="C12" i="1"/>
  <c r="E10" i="1"/>
  <c r="C32" i="1" l="1"/>
  <c r="C33" i="1" s="1"/>
  <c r="E11" i="1"/>
  <c r="E12" i="1" s="1"/>
  <c r="D22" i="1"/>
  <c r="D23" i="1" s="1"/>
  <c r="D37" i="1" s="1"/>
  <c r="E32" i="1" l="1"/>
  <c r="E33" i="1"/>
  <c r="E34" i="1" l="1"/>
  <c r="C34" i="1"/>
  <c r="E22" i="1"/>
  <c r="E21" i="1"/>
  <c r="C23" i="1" l="1"/>
  <c r="C37" i="1" s="1"/>
  <c r="E23" i="1"/>
  <c r="E37" i="1" s="1"/>
</calcChain>
</file>

<file path=xl/sharedStrings.xml><?xml version="1.0" encoding="utf-8"?>
<sst xmlns="http://schemas.openxmlformats.org/spreadsheetml/2006/main" count="154" uniqueCount="60">
  <si>
    <t>以上</t>
    <rPh sb="0" eb="2">
      <t>イジョウ</t>
    </rPh>
    <phoneticPr fontId="1"/>
  </si>
  <si>
    <t>以下</t>
    <rPh sb="0" eb="2">
      <t>イカ</t>
    </rPh>
    <phoneticPr fontId="1"/>
  </si>
  <si>
    <t>単価</t>
    <rPh sb="0" eb="2">
      <t>タンカ</t>
    </rPh>
    <phoneticPr fontId="1"/>
  </si>
  <si>
    <t>用途</t>
    <rPh sb="0" eb="2">
      <t>ヨウト</t>
    </rPh>
    <phoneticPr fontId="1"/>
  </si>
  <si>
    <t>水道料金</t>
    <rPh sb="0" eb="2">
      <t>スイドウ</t>
    </rPh>
    <rPh sb="2" eb="4">
      <t>リョウキン</t>
    </rPh>
    <phoneticPr fontId="1"/>
  </si>
  <si>
    <t>基本料金</t>
    <rPh sb="0" eb="4">
      <t>キホンリョウキン</t>
    </rPh>
    <phoneticPr fontId="1"/>
  </si>
  <si>
    <t>基地用</t>
    <rPh sb="0" eb="3">
      <t>キチヨウ</t>
    </rPh>
    <phoneticPr fontId="1"/>
  </si>
  <si>
    <t>1～8ｍ3</t>
    <phoneticPr fontId="1"/>
  </si>
  <si>
    <t>1～10ｍ3</t>
    <phoneticPr fontId="1"/>
  </si>
  <si>
    <t>基本料金</t>
    <rPh sb="0" eb="2">
      <t>キホン</t>
    </rPh>
    <rPh sb="2" eb="4">
      <t>リョウキン</t>
    </rPh>
    <phoneticPr fontId="1"/>
  </si>
  <si>
    <t>超過料金</t>
  </si>
  <si>
    <t>超過料金</t>
    <rPh sb="0" eb="2">
      <t>チョウカ</t>
    </rPh>
    <rPh sb="2" eb="4">
      <t>リョウキン</t>
    </rPh>
    <phoneticPr fontId="1"/>
  </si>
  <si>
    <t>合計</t>
    <rPh sb="0" eb="2">
      <t>ゴウケイ</t>
    </rPh>
    <phoneticPr fontId="1"/>
  </si>
  <si>
    <t>水道料金（内訳）</t>
    <rPh sb="0" eb="4">
      <t>スイドウリョウキン</t>
    </rPh>
    <rPh sb="5" eb="7">
      <t>ウチワケ</t>
    </rPh>
    <phoneticPr fontId="1"/>
  </si>
  <si>
    <t>下水道</t>
    <rPh sb="0" eb="3">
      <t>ゲスイドウ</t>
    </rPh>
    <phoneticPr fontId="1"/>
  </si>
  <si>
    <t>下水道料金（内訳）</t>
    <rPh sb="0" eb="1">
      <t>ゲ</t>
    </rPh>
    <rPh sb="1" eb="5">
      <t>スイドウリョウキン</t>
    </rPh>
    <rPh sb="6" eb="8">
      <t>ウチワケ</t>
    </rPh>
    <phoneticPr fontId="1"/>
  </si>
  <si>
    <t>使用水量（ｍ3）</t>
    <rPh sb="0" eb="2">
      <t>シヨウ</t>
    </rPh>
    <rPh sb="2" eb="4">
      <t>スイリョウ</t>
    </rPh>
    <phoneticPr fontId="1"/>
  </si>
  <si>
    <t>以上</t>
  </si>
  <si>
    <t>以下</t>
  </si>
  <si>
    <t>単価</t>
  </si>
  <si>
    <t>令和７年５月調定分～</t>
    <rPh sb="0" eb="2">
      <t>レイワ</t>
    </rPh>
    <rPh sb="3" eb="4">
      <t>ネン</t>
    </rPh>
    <rPh sb="5" eb="6">
      <t>ガツ</t>
    </rPh>
    <rPh sb="6" eb="8">
      <t>チョウテイ</t>
    </rPh>
    <rPh sb="8" eb="9">
      <t>ブン</t>
    </rPh>
    <phoneticPr fontId="1"/>
  </si>
  <si>
    <t>令和６年１１月調定分～</t>
    <rPh sb="0" eb="2">
      <t>レイワ</t>
    </rPh>
    <rPh sb="3" eb="4">
      <t>ネン</t>
    </rPh>
    <rPh sb="6" eb="7">
      <t>ガツ</t>
    </rPh>
    <rPh sb="7" eb="10">
      <t>チョウテイブン</t>
    </rPh>
    <phoneticPr fontId="1"/>
  </si>
  <si>
    <t xml:space="preserve">                   </t>
    <phoneticPr fontId="1"/>
  </si>
  <si>
    <t>水道料金（内訳）</t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</si>
  <si>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</si>
  <si>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</si>
  <si>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令和４年４月調定分～</t>
    <rPh sb="0" eb="2">
      <t>レイワ</t>
    </rPh>
    <rPh sb="3" eb="4">
      <t>ネン</t>
    </rPh>
    <rPh sb="5" eb="6">
      <t>ガツ</t>
    </rPh>
    <rPh sb="6" eb="9">
      <t>チョウテイブン</t>
    </rPh>
    <phoneticPr fontId="1"/>
  </si>
  <si>
    <t>上下水道料金計算表</t>
    <rPh sb="0" eb="2">
      <t>ジョウゲ</t>
    </rPh>
    <rPh sb="2" eb="4">
      <t>スイドウ</t>
    </rPh>
    <rPh sb="4" eb="6">
      <t>リョウキン</t>
    </rPh>
    <rPh sb="6" eb="9">
      <t>ケイサンヒョウ</t>
    </rPh>
    <phoneticPr fontId="1"/>
  </si>
  <si>
    <t>～令和６年１０月調定分</t>
    <rPh sb="1" eb="3">
      <t>レイワ</t>
    </rPh>
    <rPh sb="4" eb="5">
      <t>ネン</t>
    </rPh>
    <rPh sb="7" eb="8">
      <t>ガツ</t>
    </rPh>
    <rPh sb="8" eb="10">
      <t>チョウテイ</t>
    </rPh>
    <rPh sb="10" eb="11">
      <t>ブン</t>
    </rPh>
    <phoneticPr fontId="1"/>
  </si>
  <si>
    <t>0円</t>
    <rPh sb="1" eb="2">
      <t>エン</t>
    </rPh>
    <phoneticPr fontId="1"/>
  </si>
  <si>
    <t>←用途をプルダウンから選択してください。</t>
    <rPh sb="1" eb="3">
      <t>ヨウト</t>
    </rPh>
    <rPh sb="11" eb="13">
      <t>センタク</t>
    </rPh>
    <phoneticPr fontId="1"/>
  </si>
  <si>
    <t>営業用</t>
    <rPh sb="0" eb="3">
      <t>エイギョウヨウ</t>
    </rPh>
    <phoneticPr fontId="1"/>
  </si>
  <si>
    <t>官公署用</t>
    <rPh sb="0" eb="4">
      <t>カンコウショヨウ</t>
    </rPh>
    <phoneticPr fontId="1"/>
  </si>
  <si>
    <t>臨時用</t>
    <rPh sb="0" eb="3">
      <t>リンジヨウ</t>
    </rPh>
    <phoneticPr fontId="1"/>
  </si>
  <si>
    <t>船舶用</t>
    <rPh sb="0" eb="3">
      <t>センパクヨウ</t>
    </rPh>
    <phoneticPr fontId="1"/>
  </si>
  <si>
    <t>家庭用</t>
    <rPh sb="0" eb="3">
      <t>カテイヨウ</t>
    </rPh>
    <phoneticPr fontId="1"/>
  </si>
  <si>
    <t>←１カ月の使用水量を入力してください。</t>
    <rPh sb="3" eb="4">
      <t>ツキ</t>
    </rPh>
    <rPh sb="5" eb="7">
      <t>シヨウ</t>
    </rPh>
    <rPh sb="7" eb="9">
      <t>スイリョウ</t>
    </rPh>
    <rPh sb="10" eb="12">
      <t>ニュウリョク</t>
    </rPh>
    <phoneticPr fontId="1"/>
  </si>
  <si>
    <t>下水道有無</t>
    <rPh sb="0" eb="3">
      <t>ゲスイドウ</t>
    </rPh>
    <rPh sb="3" eb="5">
      <t>ウム</t>
    </rPh>
    <phoneticPr fontId="1"/>
  </si>
  <si>
    <t>←下水道の有無をプルダウンから選択してください。</t>
    <rPh sb="1" eb="4">
      <t>ゲスイドウ</t>
    </rPh>
    <rPh sb="5" eb="7">
      <t>ウム</t>
    </rPh>
    <rPh sb="15" eb="17">
      <t>センタク</t>
    </rPh>
    <phoneticPr fontId="1"/>
  </si>
  <si>
    <t>令和６年１１月調定分～令和７年４月調定分</t>
    <rPh sb="0" eb="2">
      <t>レイワ</t>
    </rPh>
    <rPh sb="3" eb="4">
      <t>ネン</t>
    </rPh>
    <rPh sb="6" eb="7">
      <t>ガツ</t>
    </rPh>
    <rPh sb="7" eb="9">
      <t>チョウテイ</t>
    </rPh>
    <rPh sb="9" eb="10">
      <t>ブン</t>
    </rPh>
    <rPh sb="11" eb="13">
      <t>レイワ</t>
    </rPh>
    <rPh sb="14" eb="15">
      <t>ネン</t>
    </rPh>
    <rPh sb="16" eb="17">
      <t>ガツ</t>
    </rPh>
    <rPh sb="17" eb="19">
      <t>チョウテイ</t>
    </rPh>
    <rPh sb="19" eb="20">
      <t>ブン</t>
    </rPh>
    <phoneticPr fontId="1"/>
  </si>
  <si>
    <t>用　　途</t>
    <rPh sb="0" eb="1">
      <t>ヨウ</t>
    </rPh>
    <rPh sb="3" eb="4">
      <t>ト</t>
    </rPh>
    <phoneticPr fontId="1"/>
  </si>
  <si>
    <t>※令和６年１０月１日改定、令和７年４月１日改定の料金を計算します。なお、下水道使用料の改定はありません。</t>
    <rPh sb="1" eb="3">
      <t>レイワ</t>
    </rPh>
    <rPh sb="4" eb="5">
      <t>ネン</t>
    </rPh>
    <rPh sb="7" eb="8">
      <t>ガツ</t>
    </rPh>
    <rPh sb="9" eb="10">
      <t>ニチ</t>
    </rPh>
    <rPh sb="10" eb="12">
      <t>カイテイ</t>
    </rPh>
    <rPh sb="13" eb="15">
      <t>レイワ</t>
    </rPh>
    <rPh sb="16" eb="17">
      <t>ネン</t>
    </rPh>
    <rPh sb="18" eb="19">
      <t>ガツ</t>
    </rPh>
    <rPh sb="20" eb="21">
      <t>ニチ</t>
    </rPh>
    <rPh sb="21" eb="23">
      <t>カイテイ</t>
    </rPh>
    <rPh sb="24" eb="26">
      <t>リョウキン</t>
    </rPh>
    <rPh sb="27" eb="29">
      <t>ケイサン</t>
    </rPh>
    <rPh sb="36" eb="39">
      <t>ゲスイドウ</t>
    </rPh>
    <rPh sb="39" eb="42">
      <t>シヨウリョウ</t>
    </rPh>
    <rPh sb="43" eb="45">
      <t>カイテイ</t>
    </rPh>
    <phoneticPr fontId="1"/>
  </si>
  <si>
    <t>下記に必要項目を入力してください。</t>
    <rPh sb="0" eb="2">
      <t>カキ</t>
    </rPh>
    <rPh sb="3" eb="5">
      <t>ヒツヨウ</t>
    </rPh>
    <rPh sb="5" eb="7">
      <t>コウモク</t>
    </rPh>
    <rPh sb="8" eb="10">
      <t>ニュウリョク</t>
    </rPh>
    <phoneticPr fontId="1"/>
  </si>
  <si>
    <t>0円</t>
  </si>
  <si>
    <t>減免後</t>
    <rPh sb="0" eb="2">
      <t>ゲンメン</t>
    </rPh>
    <rPh sb="2" eb="3">
      <t>ゴ</t>
    </rPh>
    <phoneticPr fontId="1"/>
  </si>
  <si>
    <t>差額</t>
    <rPh sb="0" eb="2">
      <t>サガク</t>
    </rPh>
    <phoneticPr fontId="1"/>
  </si>
  <si>
    <t>官公署用</t>
    <rPh sb="0" eb="2">
      <t>カンコウ</t>
    </rPh>
    <rPh sb="2" eb="3">
      <t>ショ</t>
    </rPh>
    <rPh sb="3" eb="4">
      <t>ヨウ</t>
    </rPh>
    <phoneticPr fontId="1"/>
  </si>
  <si>
    <t>家庭用（税抜）</t>
    <rPh sb="0" eb="3">
      <t>カテイヨウ</t>
    </rPh>
    <rPh sb="4" eb="5">
      <t>ゼイ</t>
    </rPh>
    <rPh sb="5" eb="6">
      <t>ヌ</t>
    </rPh>
    <phoneticPr fontId="1"/>
  </si>
  <si>
    <t>営業用（税抜）</t>
    <rPh sb="0" eb="3">
      <t>エイギョウヨウ</t>
    </rPh>
    <rPh sb="4" eb="6">
      <t>ゼイヌキ</t>
    </rPh>
    <phoneticPr fontId="1"/>
  </si>
  <si>
    <t>官公署用（税抜）</t>
    <rPh sb="0" eb="2">
      <t>カンコウ</t>
    </rPh>
    <rPh sb="2" eb="3">
      <t>ショ</t>
    </rPh>
    <rPh sb="3" eb="4">
      <t>ヨウ</t>
    </rPh>
    <rPh sb="5" eb="7">
      <t>ゼイヌキ</t>
    </rPh>
    <phoneticPr fontId="1"/>
  </si>
  <si>
    <t>下水道（有）</t>
  </si>
  <si>
    <t>【減免後】令和７年５月調定分～</t>
    <rPh sb="1" eb="4">
      <t>ゲンメンゴ</t>
    </rPh>
    <rPh sb="5" eb="7">
      <t>レイワ</t>
    </rPh>
    <rPh sb="8" eb="9">
      <t>ネン</t>
    </rPh>
    <rPh sb="10" eb="11">
      <t>ガツ</t>
    </rPh>
    <rPh sb="11" eb="14">
      <t>チョウテイブン</t>
    </rPh>
    <phoneticPr fontId="1"/>
  </si>
  <si>
    <t>差　　額</t>
    <rPh sb="0" eb="1">
      <t>サ</t>
    </rPh>
    <rPh sb="3" eb="4">
      <t>ガク</t>
    </rPh>
    <phoneticPr fontId="1"/>
  </si>
  <si>
    <t>基地用</t>
    <rPh sb="0" eb="3">
      <t>キチヨウ</t>
    </rPh>
    <phoneticPr fontId="1"/>
  </si>
  <si>
    <t>1,074円</t>
    <rPh sb="5" eb="6">
      <t>エン</t>
    </rPh>
    <phoneticPr fontId="1"/>
  </si>
  <si>
    <t>船舶用</t>
    <rPh sb="0" eb="3">
      <t>センパクヨウ</t>
    </rPh>
    <phoneticPr fontId="1"/>
  </si>
  <si>
    <t>臨時用</t>
    <rPh sb="0" eb="3">
      <t>リンジヨウ</t>
    </rPh>
    <phoneticPr fontId="1"/>
  </si>
  <si>
    <t>－</t>
    <phoneticPr fontId="1"/>
  </si>
  <si>
    <t>減免後の
基本料金</t>
    <rPh sb="0" eb="3">
      <t>ゲンメンゴ</t>
    </rPh>
    <phoneticPr fontId="1"/>
  </si>
  <si>
    <t>家庭用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</si>
</sst>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&quot;円&quot;"/>
    <numFmt numFmtId="177" formatCode="#,###&quot;㎥&quot;"/>
    <numFmt numFmtId="178" formatCode="@\(&quot;税&quot;&quot;抜&quot;\)"/>
    <numFmt numFmtId="179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89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2" borderId="0" xfId="0" applyFill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 shrinkToFit="1"/>
      <protection locked="0" hidden="1"/>
    </xf>
    <xf numFmtId="0" fontId="0" fillId="0" borderId="1" xfId="0" applyBorder="1" applyAlignment="1" applyProtection="1">
      <alignment horizontal="center" vertical="center" shrinkToFit="1"/>
      <protection hidden="1"/>
    </xf>
    <xf numFmtId="177" fontId="0" fillId="4" borderId="1" xfId="1" applyNumberFormat="1" applyFont="1" applyFill="1" applyBorder="1" applyAlignment="1" applyProtection="1">
      <alignment horizontal="center" vertical="center"/>
      <protection locked="0"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locked="0" hidden="1"/>
    </xf>
    <xf numFmtId="0" fontId="0" fillId="2" borderId="0" xfId="0" applyFill="1" applyBorder="1" applyProtection="1">
      <alignment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 shrinkToFit="1"/>
      <protection hidden="1"/>
    </xf>
    <xf numFmtId="0" fontId="0" fillId="2" borderId="0" xfId="0" applyFill="1" applyBorder="1" applyAlignment="1" applyProtection="1">
      <alignment horizontal="left" vertical="center" shrinkToFit="1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76" fontId="0" fillId="0" borderId="1" xfId="1" applyNumberFormat="1" applyFont="1" applyBorder="1" applyAlignment="1" applyProtection="1">
      <alignment vertical="center"/>
      <protection hidden="1"/>
    </xf>
    <xf numFmtId="0" fontId="0" fillId="0" borderId="1" xfId="0" applyFill="1" applyBorder="1" applyProtection="1">
      <alignment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38" fontId="0" fillId="0" borderId="1" xfId="1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178" fontId="0" fillId="0" borderId="1" xfId="0" applyNumberFormat="1" applyBorder="1" applyAlignment="1" applyProtection="1">
      <alignment horizontal="center" vertical="center"/>
      <protection hidden="1"/>
    </xf>
    <xf numFmtId="176" fontId="0" fillId="0" borderId="1" xfId="1" applyNumberFormat="1" applyFont="1" applyBorder="1" applyProtection="1">
      <alignment vertical="center"/>
      <protection hidden="1"/>
    </xf>
    <xf numFmtId="177" fontId="0" fillId="0" borderId="1" xfId="1" applyNumberFormat="1" applyFont="1" applyBorder="1" applyAlignment="1" applyProtection="1">
      <alignment vertical="center" shrinkToFit="1"/>
      <protection hidden="1"/>
    </xf>
    <xf numFmtId="176" fontId="0" fillId="0" borderId="1" xfId="1" applyNumberFormat="1" applyFont="1" applyBorder="1" applyAlignment="1" applyProtection="1">
      <alignment horizontal="right" vertical="center" shrinkToFit="1"/>
      <protection hidden="1"/>
    </xf>
    <xf numFmtId="176" fontId="6" fillId="0" borderId="1" xfId="0" applyNumberFormat="1" applyFont="1" applyBorder="1" applyAlignment="1" applyProtection="1">
      <alignment horizontal="right" vertical="center"/>
      <protection hidden="1"/>
    </xf>
    <xf numFmtId="176" fontId="0" fillId="0" borderId="1" xfId="1" applyNumberFormat="1" applyFont="1" applyBorder="1" applyAlignment="1" applyProtection="1">
      <alignment vertical="center" shrinkToFi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76" fontId="0" fillId="3" borderId="1" xfId="0" applyNumberFormat="1" applyFill="1" applyBorder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178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38" fontId="0" fillId="2" borderId="0" xfId="1" applyFont="1" applyFill="1" applyBorder="1" applyAlignment="1" applyProtection="1">
      <alignment vertical="center"/>
      <protection hidden="1"/>
    </xf>
    <xf numFmtId="178" fontId="0" fillId="0" borderId="1" xfId="0" applyNumberFormat="1" applyBorder="1" applyAlignment="1" applyProtection="1">
      <alignment horizontal="center" vertical="center" shrinkToFit="1"/>
      <protection hidden="1"/>
    </xf>
    <xf numFmtId="176" fontId="0" fillId="0" borderId="1" xfId="1" applyNumberFormat="1" applyFont="1" applyFill="1" applyBorder="1" applyProtection="1">
      <alignment vertical="center"/>
      <protection hidden="1"/>
    </xf>
    <xf numFmtId="176" fontId="0" fillId="0" borderId="1" xfId="0" applyNumberFormat="1" applyBorder="1" applyProtection="1">
      <alignment vertical="center"/>
      <protection hidden="1"/>
    </xf>
    <xf numFmtId="177" fontId="0" fillId="2" borderId="0" xfId="1" applyNumberFormat="1" applyFont="1" applyFill="1" applyBorder="1" applyAlignment="1" applyProtection="1">
      <alignment vertical="center" shrinkToFit="1"/>
      <protection hidden="1"/>
    </xf>
    <xf numFmtId="176" fontId="0" fillId="2" borderId="0" xfId="1" applyNumberFormat="1" applyFont="1" applyFill="1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179" fontId="8" fillId="2" borderId="0" xfId="0" applyNumberFormat="1" applyFont="1" applyFill="1" applyBorder="1" applyAlignment="1" applyProtection="1">
      <alignment horizontal="center" vertical="center" shrinkToFit="1"/>
      <protection hidden="1"/>
    </xf>
    <xf numFmtId="176" fontId="8" fillId="2" borderId="0" xfId="0" applyNumberFormat="1" applyFont="1" applyFill="1" applyBorder="1" applyProtection="1">
      <alignment vertical="center"/>
      <protection hidden="1"/>
    </xf>
    <xf numFmtId="177" fontId="0" fillId="0" borderId="8" xfId="1" applyNumberFormat="1" applyFont="1" applyBorder="1" applyAlignment="1" applyProtection="1">
      <alignment vertical="center" shrinkToFit="1"/>
      <protection hidden="1"/>
    </xf>
    <xf numFmtId="176" fontId="0" fillId="0" borderId="8" xfId="1" applyNumberFormat="1" applyFont="1" applyBorder="1" applyAlignment="1" applyProtection="1">
      <alignment vertical="center" shrinkToFit="1"/>
      <protection hidden="1"/>
    </xf>
    <xf numFmtId="0" fontId="0" fillId="0" borderId="0" xfId="0" applyFill="1" applyProtection="1">
      <alignment vertical="center"/>
      <protection hidden="1"/>
    </xf>
    <xf numFmtId="176" fontId="0" fillId="2" borderId="0" xfId="0" applyNumberFormat="1" applyFill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177" fontId="0" fillId="2" borderId="4" xfId="1" applyNumberFormat="1" applyFont="1" applyFill="1" applyBorder="1" applyAlignment="1" applyProtection="1">
      <alignment vertical="center" shrinkToFit="1"/>
      <protection hidden="1"/>
    </xf>
    <xf numFmtId="176" fontId="0" fillId="2" borderId="4" xfId="1" applyNumberFormat="1" applyFont="1" applyFill="1" applyBorder="1" applyAlignment="1" applyProtection="1">
      <alignment vertical="center" shrinkToFit="1"/>
      <protection hidden="1"/>
    </xf>
    <xf numFmtId="179" fontId="8" fillId="5" borderId="1" xfId="0" applyNumberFormat="1" applyFont="1" applyFill="1" applyBorder="1" applyAlignment="1" applyProtection="1">
      <alignment horizontal="center" vertical="center" shrinkToFit="1"/>
      <protection hidden="1"/>
    </xf>
    <xf numFmtId="176" fontId="8" fillId="5" borderId="1" xfId="0" applyNumberFormat="1" applyFont="1" applyFill="1" applyBorder="1" applyProtection="1">
      <alignment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38" fontId="0" fillId="0" borderId="0" xfId="1" applyFont="1">
      <alignment vertical="center"/>
    </xf>
    <xf numFmtId="38" fontId="12" fillId="2" borderId="0" xfId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38" fontId="0" fillId="2" borderId="1" xfId="1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" xfId="2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2"/>
  <sheetViews>
    <sheetView tabSelected="1" zoomScale="70" zoomScaleNormal="70" workbookViewId="0">
      <selection activeCell="B18" sqref="B18:E18"/>
    </sheetView>
  </sheetViews>
  <sheetFormatPr defaultRowHeight="18.75" x14ac:dyDescent="0.4"/>
  <cols>
    <col min="1" max="1" width="5" style="5" customWidth="1"/>
    <col min="2" max="2" width="14.625" style="5" customWidth="1"/>
    <col min="3" max="5" width="13.375" style="5" customWidth="1"/>
    <col min="6" max="6" width="9.125" style="43" bestFit="1" customWidth="1"/>
    <col min="7" max="7" width="9.5" style="43" bestFit="1" customWidth="1"/>
    <col min="8" max="8" width="9.125" style="43" bestFit="1" customWidth="1"/>
    <col min="9" max="9" width="9.375" style="43" customWidth="1"/>
    <col min="10" max="10" width="3.625" style="43" customWidth="1"/>
    <col min="11" max="11" width="9.125" style="43" bestFit="1" customWidth="1"/>
    <col min="12" max="12" width="9.875" style="43" bestFit="1" customWidth="1"/>
    <col min="13" max="13" width="9.125" style="43" bestFit="1" customWidth="1"/>
    <col min="14" max="14" width="11.125" style="43" customWidth="1"/>
    <col min="15" max="15" width="6.25" style="5" customWidth="1"/>
    <col min="16" max="16" width="6.25" style="49" hidden="1" customWidth="1"/>
    <col min="17" max="58" width="9" style="5" hidden="1" customWidth="1"/>
    <col min="59" max="16384" width="9" style="5"/>
  </cols>
  <sheetData>
    <row r="1" spans="1:60" ht="24.75" customHeight="1" x14ac:dyDescent="0.4">
      <c r="A1" s="2"/>
      <c r="B1" s="3" t="s">
        <v>41</v>
      </c>
      <c r="C1" s="2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2"/>
    </row>
    <row r="2" spans="1:60" ht="24.75" customHeight="1" x14ac:dyDescent="0.4">
      <c r="A2" s="2"/>
      <c r="B2" s="67" t="s">
        <v>42</v>
      </c>
      <c r="C2" s="67"/>
      <c r="D2" s="67"/>
      <c r="E2" s="67"/>
      <c r="F2" s="67"/>
      <c r="G2" s="67"/>
      <c r="H2" s="4"/>
      <c r="I2" s="4"/>
      <c r="J2" s="4"/>
      <c r="K2" s="4"/>
      <c r="L2" s="4"/>
      <c r="M2" s="4"/>
      <c r="N2" s="4"/>
      <c r="O2" s="2"/>
    </row>
    <row r="3" spans="1:60" x14ac:dyDescent="0.4">
      <c r="A3" s="2"/>
      <c r="B3" s="6" t="s">
        <v>40</v>
      </c>
      <c r="C3" s="7" t="s">
        <v>59</v>
      </c>
      <c r="D3" s="66" t="s">
        <v>30</v>
      </c>
      <c r="E3" s="66"/>
      <c r="F3" s="66"/>
      <c r="G3" s="66"/>
      <c r="H3" s="4"/>
      <c r="I3" s="4"/>
      <c r="J3" s="4"/>
      <c r="K3" s="4"/>
      <c r="L3" s="4"/>
      <c r="M3" s="4"/>
      <c r="N3" s="4"/>
      <c r="O3" s="2"/>
    </row>
    <row r="4" spans="1:60" x14ac:dyDescent="0.4">
      <c r="A4" s="2"/>
      <c r="B4" s="8" t="s">
        <v>16</v>
      </c>
      <c r="C4" s="9">
        <v>8</v>
      </c>
      <c r="D4" s="66" t="s">
        <v>36</v>
      </c>
      <c r="E4" s="66"/>
      <c r="F4" s="66"/>
      <c r="G4" s="66"/>
      <c r="H4" s="4"/>
      <c r="I4" s="4"/>
      <c r="J4" s="4"/>
      <c r="K4" s="4"/>
      <c r="L4" s="4"/>
      <c r="M4" s="4"/>
      <c r="N4" s="4"/>
      <c r="O4" s="2"/>
    </row>
    <row r="5" spans="1:60" x14ac:dyDescent="0.4">
      <c r="A5" s="2"/>
      <c r="B5" s="10" t="s">
        <v>37</v>
      </c>
      <c r="C5" s="11" t="s">
        <v>50</v>
      </c>
      <c r="D5" s="66" t="s">
        <v>38</v>
      </c>
      <c r="E5" s="66"/>
      <c r="F5" s="66"/>
      <c r="G5" s="66"/>
      <c r="H5" s="4"/>
      <c r="I5" s="4"/>
      <c r="J5" s="4"/>
      <c r="K5" s="4"/>
      <c r="L5" s="4"/>
      <c r="M5" s="4"/>
      <c r="N5" s="4"/>
      <c r="O5" s="2"/>
      <c r="Q5" t="s">
        <v>26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1:60" x14ac:dyDescent="0.4">
      <c r="A6" s="12"/>
      <c r="B6" s="13"/>
      <c r="C6" s="13"/>
      <c r="D6" s="14"/>
      <c r="E6" s="14"/>
      <c r="F6" s="15"/>
      <c r="G6" s="15"/>
      <c r="H6" s="16"/>
      <c r="I6" s="4"/>
      <c r="J6" s="4"/>
      <c r="K6" s="4"/>
      <c r="L6" s="4"/>
      <c r="M6" s="4"/>
      <c r="N6" s="4"/>
      <c r="O6" s="2"/>
      <c r="Q6"/>
      <c r="R6"/>
      <c r="S6"/>
      <c r="T6"/>
      <c r="U6"/>
      <c r="V6"/>
      <c r="W6"/>
      <c r="X6"/>
      <c r="Y6"/>
      <c r="Z6"/>
      <c r="AA6"/>
      <c r="AB6"/>
      <c r="AC6" t="s">
        <v>5</v>
      </c>
      <c r="AD6"/>
      <c r="AE6"/>
      <c r="AF6"/>
      <c r="AG6"/>
      <c r="AH6"/>
      <c r="AI6" t="s">
        <v>14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</row>
    <row r="7" spans="1:60" ht="24" hidden="1" x14ac:dyDescent="0.4">
      <c r="A7" s="2"/>
      <c r="B7" s="68" t="s">
        <v>28</v>
      </c>
      <c r="C7" s="68"/>
      <c r="D7" s="68"/>
      <c r="E7" s="68"/>
      <c r="F7" s="72" t="s">
        <v>13</v>
      </c>
      <c r="G7" s="73"/>
      <c r="H7" s="74"/>
      <c r="I7" s="6" t="s">
        <v>9</v>
      </c>
      <c r="J7" s="17"/>
      <c r="K7" s="72" t="s">
        <v>15</v>
      </c>
      <c r="L7" s="73"/>
      <c r="M7" s="74"/>
      <c r="N7" s="6" t="s">
        <v>9</v>
      </c>
      <c r="O7" s="2"/>
      <c r="Q7" t="s">
        <v>35</v>
      </c>
      <c r="R7" t="s">
        <v>7</v>
      </c>
      <c r="S7">
        <v>1</v>
      </c>
      <c r="T7">
        <v>8</v>
      </c>
      <c r="U7">
        <v>9</v>
      </c>
      <c r="V7">
        <v>20</v>
      </c>
      <c r="W7">
        <v>21</v>
      </c>
      <c r="X7">
        <v>100</v>
      </c>
      <c r="Y7">
        <v>101</v>
      </c>
      <c r="Z7">
        <v>300</v>
      </c>
      <c r="AA7">
        <v>301</v>
      </c>
      <c r="AB7">
        <v>99999</v>
      </c>
      <c r="AC7">
        <v>971</v>
      </c>
      <c r="AD7">
        <v>189</v>
      </c>
      <c r="AE7">
        <v>210</v>
      </c>
      <c r="AF7">
        <v>240</v>
      </c>
      <c r="AG7">
        <v>264</v>
      </c>
      <c r="AH7"/>
      <c r="AI7">
        <v>1</v>
      </c>
      <c r="AJ7">
        <v>10</v>
      </c>
      <c r="AK7">
        <v>11</v>
      </c>
      <c r="AL7">
        <v>30</v>
      </c>
      <c r="AM7">
        <v>31</v>
      </c>
      <c r="AN7">
        <v>50</v>
      </c>
      <c r="AO7">
        <v>51</v>
      </c>
      <c r="AP7">
        <v>100</v>
      </c>
      <c r="AQ7">
        <v>101</v>
      </c>
      <c r="AR7">
        <v>300</v>
      </c>
      <c r="AS7">
        <v>301</v>
      </c>
      <c r="AT7">
        <v>99999</v>
      </c>
      <c r="AU7"/>
      <c r="AV7"/>
      <c r="AW7"/>
      <c r="AX7"/>
      <c r="AY7">
        <v>650</v>
      </c>
      <c r="AZ7">
        <v>95</v>
      </c>
      <c r="BA7">
        <v>110</v>
      </c>
      <c r="BB7">
        <v>130</v>
      </c>
      <c r="BC7">
        <v>155</v>
      </c>
      <c r="BD7">
        <v>175</v>
      </c>
      <c r="BE7"/>
      <c r="BF7"/>
      <c r="BG7"/>
      <c r="BH7"/>
    </row>
    <row r="8" spans="1:60" hidden="1" x14ac:dyDescent="0.4">
      <c r="A8" s="2"/>
      <c r="B8" s="78" t="s">
        <v>27</v>
      </c>
      <c r="C8" s="78"/>
      <c r="D8" s="78"/>
      <c r="E8" s="78"/>
      <c r="F8" s="75"/>
      <c r="G8" s="76"/>
      <c r="H8" s="77"/>
      <c r="I8" s="18" t="e">
        <f>VLOOKUP($B$21,#REF!,13,0)</f>
        <v>#REF!</v>
      </c>
      <c r="J8" s="4"/>
      <c r="K8" s="75"/>
      <c r="L8" s="76"/>
      <c r="M8" s="77"/>
      <c r="N8" s="18" t="e">
        <f>VLOOKUP($B$21,#REF!,35,0)</f>
        <v>#REF!</v>
      </c>
      <c r="O8" s="2"/>
      <c r="Q8" t="s">
        <v>31</v>
      </c>
      <c r="R8" t="s">
        <v>8</v>
      </c>
      <c r="S8">
        <v>1</v>
      </c>
      <c r="T8">
        <v>10</v>
      </c>
      <c r="U8">
        <v>11</v>
      </c>
      <c r="V8">
        <v>30</v>
      </c>
      <c r="W8">
        <v>31</v>
      </c>
      <c r="X8">
        <v>100</v>
      </c>
      <c r="Y8">
        <v>101</v>
      </c>
      <c r="Z8">
        <v>300</v>
      </c>
      <c r="AA8">
        <v>301</v>
      </c>
      <c r="AB8">
        <v>99999</v>
      </c>
      <c r="AC8">
        <v>1554</v>
      </c>
      <c r="AD8">
        <v>210</v>
      </c>
      <c r="AE8">
        <v>240</v>
      </c>
      <c r="AF8">
        <v>264</v>
      </c>
      <c r="AG8">
        <v>284</v>
      </c>
      <c r="AH8"/>
      <c r="AI8">
        <v>1</v>
      </c>
      <c r="AJ8">
        <v>10</v>
      </c>
      <c r="AK8">
        <v>11</v>
      </c>
      <c r="AL8">
        <v>30</v>
      </c>
      <c r="AM8">
        <v>31</v>
      </c>
      <c r="AN8">
        <v>50</v>
      </c>
      <c r="AO8">
        <v>51</v>
      </c>
      <c r="AP8">
        <v>100</v>
      </c>
      <c r="AQ8">
        <v>101</v>
      </c>
      <c r="AR8">
        <v>300</v>
      </c>
      <c r="AS8">
        <v>301</v>
      </c>
      <c r="AT8">
        <v>500</v>
      </c>
      <c r="AU8">
        <v>501</v>
      </c>
      <c r="AV8">
        <v>1000</v>
      </c>
      <c r="AW8">
        <v>1001</v>
      </c>
      <c r="AX8">
        <v>99999</v>
      </c>
      <c r="AY8">
        <v>900</v>
      </c>
      <c r="AZ8">
        <v>120</v>
      </c>
      <c r="BA8">
        <v>140</v>
      </c>
      <c r="BB8">
        <v>145</v>
      </c>
      <c r="BC8">
        <v>160</v>
      </c>
      <c r="BD8">
        <v>180</v>
      </c>
      <c r="BE8">
        <v>185</v>
      </c>
      <c r="BF8">
        <v>188</v>
      </c>
      <c r="BG8"/>
      <c r="BH8"/>
    </row>
    <row r="9" spans="1:60" hidden="1" x14ac:dyDescent="0.4">
      <c r="A9" s="2"/>
      <c r="B9" s="19"/>
      <c r="C9" s="20" t="s">
        <v>4</v>
      </c>
      <c r="D9" s="21" t="str">
        <f>C5</f>
        <v>下水道（有）</v>
      </c>
      <c r="E9" s="20" t="s">
        <v>12</v>
      </c>
      <c r="F9" s="22" t="s">
        <v>0</v>
      </c>
      <c r="G9" s="22" t="s">
        <v>1</v>
      </c>
      <c r="H9" s="22" t="s">
        <v>2</v>
      </c>
      <c r="I9" s="22" t="s">
        <v>11</v>
      </c>
      <c r="J9" s="23"/>
      <c r="K9" s="22" t="s">
        <v>0</v>
      </c>
      <c r="L9" s="22" t="s">
        <v>1</v>
      </c>
      <c r="M9" s="22" t="s">
        <v>2</v>
      </c>
      <c r="N9" s="22" t="s">
        <v>11</v>
      </c>
      <c r="O9" s="2"/>
      <c r="Q9" t="s">
        <v>32</v>
      </c>
      <c r="R9" t="s">
        <v>8</v>
      </c>
      <c r="S9">
        <v>1</v>
      </c>
      <c r="T9">
        <v>10</v>
      </c>
      <c r="U9">
        <v>11</v>
      </c>
      <c r="V9">
        <v>100</v>
      </c>
      <c r="W9">
        <v>101</v>
      </c>
      <c r="X9">
        <v>300</v>
      </c>
      <c r="Y9">
        <v>301</v>
      </c>
      <c r="Z9">
        <v>500</v>
      </c>
      <c r="AA9">
        <v>501</v>
      </c>
      <c r="AB9">
        <v>99999</v>
      </c>
      <c r="AC9">
        <v>1758</v>
      </c>
      <c r="AD9">
        <v>240</v>
      </c>
      <c r="AE9">
        <v>264</v>
      </c>
      <c r="AF9">
        <v>284</v>
      </c>
      <c r="AG9">
        <v>314</v>
      </c>
      <c r="AH9"/>
      <c r="AI9">
        <v>1</v>
      </c>
      <c r="AJ9">
        <v>10</v>
      </c>
      <c r="AK9">
        <v>11</v>
      </c>
      <c r="AL9">
        <v>30</v>
      </c>
      <c r="AM9">
        <v>31</v>
      </c>
      <c r="AN9">
        <v>50</v>
      </c>
      <c r="AO9">
        <v>51</v>
      </c>
      <c r="AP9">
        <v>100</v>
      </c>
      <c r="AQ9">
        <v>101</v>
      </c>
      <c r="AR9">
        <v>300</v>
      </c>
      <c r="AS9">
        <v>301</v>
      </c>
      <c r="AT9">
        <v>500</v>
      </c>
      <c r="AU9">
        <v>501</v>
      </c>
      <c r="AV9">
        <v>1000</v>
      </c>
      <c r="AW9">
        <v>1001</v>
      </c>
      <c r="AX9">
        <v>99999</v>
      </c>
      <c r="AY9">
        <v>900</v>
      </c>
      <c r="AZ9">
        <v>120</v>
      </c>
      <c r="BA9">
        <v>140</v>
      </c>
      <c r="BB9">
        <v>145</v>
      </c>
      <c r="BC9">
        <v>160</v>
      </c>
      <c r="BD9">
        <v>180</v>
      </c>
      <c r="BE9">
        <v>185</v>
      </c>
      <c r="BF9">
        <v>188</v>
      </c>
      <c r="BG9"/>
      <c r="BH9"/>
    </row>
    <row r="10" spans="1:60" hidden="1" x14ac:dyDescent="0.4">
      <c r="A10" s="2"/>
      <c r="B10" s="24" t="str">
        <f>C3</f>
        <v>家庭用</v>
      </c>
      <c r="C10" s="25" t="e">
        <f>IF(OR(計算表!C3="臨時用",計算表!C3="船舶用"),ROUNDDOWN((C4*VLOOKUP(C3,#REF!,18,0)),0),ROUNDDOWN((IF(C4="","",SUM($I$8,I11:I14))),0))</f>
        <v>#REF!</v>
      </c>
      <c r="D10" s="25" t="e">
        <f>IF(C5="下水道（有）",ROUNDDOWN((IF(C4="","",SUM($N$8,N11:N17))),0),0)</f>
        <v>#REF!</v>
      </c>
      <c r="E10" s="25" t="e">
        <f>SUM(C10:D10)</f>
        <v>#REF!</v>
      </c>
      <c r="F10" s="26" t="e">
        <f>VLOOKUP($B$21,#REF!,3,0)</f>
        <v>#REF!</v>
      </c>
      <c r="G10" s="26" t="e">
        <f>VLOOKUP($B$21,#REF!,4,0)</f>
        <v>#REF!</v>
      </c>
      <c r="H10" s="27" t="s">
        <v>29</v>
      </c>
      <c r="I10" s="27" t="s">
        <v>29</v>
      </c>
      <c r="J10" s="4"/>
      <c r="K10" s="26" t="e">
        <f>VLOOKUP($C$3,#REF!,19,0)</f>
        <v>#REF!</v>
      </c>
      <c r="L10" s="26" t="e">
        <f>VLOOKUP($C$3,#REF!,20,0)</f>
        <v>#REF!</v>
      </c>
      <c r="M10" s="27" t="s">
        <v>43</v>
      </c>
      <c r="N10" s="27" t="s">
        <v>43</v>
      </c>
      <c r="O10" s="2"/>
      <c r="Q10" t="s">
        <v>33</v>
      </c>
      <c r="R10"/>
      <c r="S10"/>
      <c r="T10"/>
      <c r="U10"/>
      <c r="V10"/>
      <c r="W10"/>
      <c r="X10"/>
      <c r="Y10"/>
      <c r="Z10"/>
      <c r="AA10"/>
      <c r="AB10"/>
      <c r="AC10">
        <v>0</v>
      </c>
      <c r="AD10">
        <v>0</v>
      </c>
      <c r="AE10">
        <v>0</v>
      </c>
      <c r="AF10">
        <v>0</v>
      </c>
      <c r="AG10">
        <v>0</v>
      </c>
      <c r="AH10">
        <v>505</v>
      </c>
      <c r="AI10">
        <v>1</v>
      </c>
      <c r="AJ10">
        <v>10</v>
      </c>
      <c r="AK10">
        <v>11</v>
      </c>
      <c r="AL10">
        <v>30</v>
      </c>
      <c r="AM10">
        <v>31</v>
      </c>
      <c r="AN10">
        <v>50</v>
      </c>
      <c r="AO10">
        <v>51</v>
      </c>
      <c r="AP10">
        <v>100</v>
      </c>
      <c r="AQ10">
        <v>101</v>
      </c>
      <c r="AR10">
        <v>300</v>
      </c>
      <c r="AS10">
        <v>301</v>
      </c>
      <c r="AT10">
        <v>500</v>
      </c>
      <c r="AU10">
        <v>501</v>
      </c>
      <c r="AV10">
        <v>1000</v>
      </c>
      <c r="AW10">
        <v>1001</v>
      </c>
      <c r="AX10">
        <v>99999</v>
      </c>
      <c r="AY10">
        <v>900</v>
      </c>
      <c r="AZ10">
        <v>120</v>
      </c>
      <c r="BA10">
        <v>140</v>
      </c>
      <c r="BB10">
        <v>145</v>
      </c>
      <c r="BC10">
        <v>160</v>
      </c>
      <c r="BD10">
        <v>180</v>
      </c>
      <c r="BE10">
        <v>185</v>
      </c>
      <c r="BF10">
        <v>188</v>
      </c>
      <c r="BG10"/>
      <c r="BH10"/>
    </row>
    <row r="11" spans="1:60" hidden="1" x14ac:dyDescent="0.4">
      <c r="A11" s="2"/>
      <c r="B11" s="6" t="s">
        <v>24</v>
      </c>
      <c r="C11" s="28" t="e">
        <f>IF(C3="基地用",0,ROUNDDOWN(C10*0.1,0))</f>
        <v>#REF!</v>
      </c>
      <c r="D11" s="28" t="e">
        <f>IF(C3="基地用",0,ROUNDDOWN(D10*0.1,0))</f>
        <v>#REF!</v>
      </c>
      <c r="E11" s="28" t="e">
        <f>SUM(C11:D11)</f>
        <v>#REF!</v>
      </c>
      <c r="F11" s="26" t="e">
        <f>VLOOKUP($B$21,#REF!,5,0)</f>
        <v>#REF!</v>
      </c>
      <c r="G11" s="26" t="e">
        <f>VLOOKUP($B$21,#REF!,6,0)</f>
        <v>#REF!</v>
      </c>
      <c r="H11" s="29" t="e">
        <f>VLOOKUP($B$21,#REF!,14,0)</f>
        <v>#REF!</v>
      </c>
      <c r="I11" s="29" t="e">
        <f>MAX((MIN(G11,$C$4)-F11+1)*H11,0)</f>
        <v>#REF!</v>
      </c>
      <c r="J11" s="30"/>
      <c r="K11" s="26" t="e">
        <f>VLOOKUP($C$3,#REF!,21,0)</f>
        <v>#REF!</v>
      </c>
      <c r="L11" s="26" t="e">
        <f>VLOOKUP($C$3,#REF!,22,0)</f>
        <v>#REF!</v>
      </c>
      <c r="M11" s="29" t="e">
        <f>VLOOKUP($C$3,#REF!,36,0)</f>
        <v>#REF!</v>
      </c>
      <c r="N11" s="29" t="e">
        <f t="shared" ref="N11:N17" si="0">MAX((MIN(L11,$C$4)-K11+1)*M11,0)</f>
        <v>#REF!</v>
      </c>
      <c r="O11" s="2"/>
      <c r="Q11" t="s">
        <v>6</v>
      </c>
      <c r="R11" t="s">
        <v>8</v>
      </c>
      <c r="S11">
        <v>1</v>
      </c>
      <c r="T11">
        <v>10</v>
      </c>
      <c r="U11">
        <v>11</v>
      </c>
      <c r="V11">
        <v>100</v>
      </c>
      <c r="W11">
        <v>101</v>
      </c>
      <c r="X11">
        <v>300</v>
      </c>
      <c r="Y11">
        <v>301</v>
      </c>
      <c r="Z11">
        <v>500</v>
      </c>
      <c r="AA11">
        <v>501</v>
      </c>
      <c r="AB11">
        <v>99999</v>
      </c>
      <c r="AC11">
        <v>1810</v>
      </c>
      <c r="AD11">
        <v>246</v>
      </c>
      <c r="AE11">
        <v>272</v>
      </c>
      <c r="AF11">
        <v>293</v>
      </c>
      <c r="AG11">
        <v>323</v>
      </c>
      <c r="AH11"/>
      <c r="AI11">
        <v>1</v>
      </c>
      <c r="AJ11">
        <v>10</v>
      </c>
      <c r="AK11">
        <v>11</v>
      </c>
      <c r="AL11">
        <v>30</v>
      </c>
      <c r="AM11">
        <v>31</v>
      </c>
      <c r="AN11">
        <v>50</v>
      </c>
      <c r="AO11">
        <v>51</v>
      </c>
      <c r="AP11">
        <v>100</v>
      </c>
      <c r="AQ11">
        <v>101</v>
      </c>
      <c r="AR11">
        <v>300</v>
      </c>
      <c r="AS11">
        <v>301</v>
      </c>
      <c r="AT11">
        <v>500</v>
      </c>
      <c r="AU11">
        <v>501</v>
      </c>
      <c r="AV11">
        <v>1000</v>
      </c>
      <c r="AW11">
        <v>1001</v>
      </c>
      <c r="AX11">
        <v>99999</v>
      </c>
      <c r="AY11">
        <v>900</v>
      </c>
      <c r="AZ11">
        <v>120</v>
      </c>
      <c r="BA11">
        <v>140</v>
      </c>
      <c r="BB11">
        <v>145</v>
      </c>
      <c r="BC11">
        <v>160</v>
      </c>
      <c r="BD11">
        <v>180</v>
      </c>
      <c r="BE11">
        <v>185</v>
      </c>
      <c r="BF11">
        <v>188</v>
      </c>
      <c r="BG11"/>
      <c r="BH11"/>
    </row>
    <row r="12" spans="1:60" hidden="1" x14ac:dyDescent="0.4">
      <c r="A12" s="2"/>
      <c r="B12" s="31" t="s">
        <v>25</v>
      </c>
      <c r="C12" s="32" t="e">
        <f>SUM(C10:C11)</f>
        <v>#REF!</v>
      </c>
      <c r="D12" s="32" t="e">
        <f>SUM(D10:D11)</f>
        <v>#REF!</v>
      </c>
      <c r="E12" s="32" t="e">
        <f>SUM(E10:E11)</f>
        <v>#REF!</v>
      </c>
      <c r="F12" s="26" t="e">
        <f>VLOOKUP($B$21,#REF!,7,0)</f>
        <v>#REF!</v>
      </c>
      <c r="G12" s="26" t="e">
        <f>VLOOKUP($B$21,#REF!,8,0)</f>
        <v>#REF!</v>
      </c>
      <c r="H12" s="29" t="e">
        <f>VLOOKUP($B$21,#REF!,15,0)</f>
        <v>#REF!</v>
      </c>
      <c r="I12" s="29" t="e">
        <f>MAX((MIN(G12,$C$4)-F12+1)*H12,0)</f>
        <v>#REF!</v>
      </c>
      <c r="J12" s="4"/>
      <c r="K12" s="26" t="e">
        <f>VLOOKUP($C$3,#REF!,23,0)</f>
        <v>#REF!</v>
      </c>
      <c r="L12" s="26" t="e">
        <f>VLOOKUP($C$3,#REF!,24,0)</f>
        <v>#REF!</v>
      </c>
      <c r="M12" s="29" t="e">
        <f>VLOOKUP($C$3,#REF!,37,0)</f>
        <v>#REF!</v>
      </c>
      <c r="N12" s="29" t="e">
        <f t="shared" si="0"/>
        <v>#REF!</v>
      </c>
      <c r="O12" s="2"/>
      <c r="Q12" t="s">
        <v>34</v>
      </c>
      <c r="R12"/>
      <c r="S12"/>
      <c r="T12"/>
      <c r="U12"/>
      <c r="V12"/>
      <c r="W12"/>
      <c r="X12"/>
      <c r="Y12"/>
      <c r="Z12"/>
      <c r="AA12"/>
      <c r="AB12"/>
      <c r="AC12">
        <v>0</v>
      </c>
      <c r="AD12">
        <v>0</v>
      </c>
      <c r="AE12">
        <v>0</v>
      </c>
      <c r="AF12">
        <v>0</v>
      </c>
      <c r="AG12">
        <v>0</v>
      </c>
      <c r="AH12">
        <v>350</v>
      </c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t="s">
        <v>22</v>
      </c>
      <c r="AZ12"/>
      <c r="BA12"/>
      <c r="BB12"/>
      <c r="BC12"/>
      <c r="BD12"/>
      <c r="BE12"/>
      <c r="BF12"/>
      <c r="BG12"/>
      <c r="BH12"/>
    </row>
    <row r="13" spans="1:60" hidden="1" x14ac:dyDescent="0.4">
      <c r="A13" s="17"/>
      <c r="B13" s="2"/>
      <c r="C13" s="2"/>
      <c r="D13" s="2"/>
      <c r="E13" s="2"/>
      <c r="F13" s="26" t="e">
        <f>VLOOKUP($B$21,#REF!,9,0)</f>
        <v>#REF!</v>
      </c>
      <c r="G13" s="26" t="e">
        <f>VLOOKUP($B$21,#REF!,10,0)</f>
        <v>#REF!</v>
      </c>
      <c r="H13" s="29" t="e">
        <f>VLOOKUP($B$21,#REF!,16,0)</f>
        <v>#REF!</v>
      </c>
      <c r="I13" s="29" t="e">
        <f>MAX((MIN(G13,$C$4)-F13+1)*H13,0)</f>
        <v>#REF!</v>
      </c>
      <c r="J13" s="4"/>
      <c r="K13" s="26" t="e">
        <f>VLOOKUP($C$3,#REF!,25,0)</f>
        <v>#REF!</v>
      </c>
      <c r="L13" s="26" t="e">
        <f>VLOOKUP($C$3,#REF!,26,0)</f>
        <v>#REF!</v>
      </c>
      <c r="M13" s="29" t="e">
        <f>VLOOKUP($C$3,#REF!,38,0)</f>
        <v>#REF!</v>
      </c>
      <c r="N13" s="29" t="e">
        <f t="shared" si="0"/>
        <v>#REF!</v>
      </c>
      <c r="O13" s="2"/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>
        <v>14</v>
      </c>
      <c r="AE13">
        <v>15</v>
      </c>
      <c r="AF13">
        <v>16</v>
      </c>
      <c r="AG13">
        <v>17</v>
      </c>
      <c r="AH13">
        <v>18</v>
      </c>
      <c r="AI13">
        <v>19</v>
      </c>
      <c r="AJ13">
        <v>20</v>
      </c>
      <c r="AK13">
        <v>21</v>
      </c>
      <c r="AL13">
        <v>22</v>
      </c>
      <c r="AM13">
        <v>23</v>
      </c>
      <c r="AN13">
        <v>24</v>
      </c>
      <c r="AO13">
        <v>25</v>
      </c>
      <c r="AP13">
        <v>26</v>
      </c>
      <c r="AQ13">
        <v>27</v>
      </c>
      <c r="AR13">
        <v>28</v>
      </c>
      <c r="AS13">
        <v>29</v>
      </c>
      <c r="AT13">
        <v>30</v>
      </c>
      <c r="AU13">
        <v>31</v>
      </c>
      <c r="AV13">
        <v>32</v>
      </c>
      <c r="AW13">
        <v>33</v>
      </c>
      <c r="AX13">
        <v>34</v>
      </c>
      <c r="AY13">
        <v>35</v>
      </c>
      <c r="AZ13">
        <v>36</v>
      </c>
      <c r="BA13">
        <v>37</v>
      </c>
      <c r="BB13">
        <v>38</v>
      </c>
      <c r="BC13">
        <v>39</v>
      </c>
      <c r="BD13">
        <v>40</v>
      </c>
      <c r="BE13">
        <v>41</v>
      </c>
      <c r="BF13">
        <v>42</v>
      </c>
      <c r="BG13"/>
      <c r="BH13"/>
    </row>
    <row r="14" spans="1:60" hidden="1" x14ac:dyDescent="0.4">
      <c r="A14" s="2"/>
      <c r="B14" s="2"/>
      <c r="C14" s="2"/>
      <c r="D14" s="2"/>
      <c r="E14" s="2"/>
      <c r="F14" s="26" t="e">
        <f>VLOOKUP($B$21,#REF!,11,0)</f>
        <v>#REF!</v>
      </c>
      <c r="G14" s="26" t="e">
        <f>VLOOKUP($B$21,#REF!,12,0)</f>
        <v>#REF!</v>
      </c>
      <c r="H14" s="29" t="e">
        <f>VLOOKUP($B$21,#REF!,17,0)</f>
        <v>#REF!</v>
      </c>
      <c r="I14" s="29" t="e">
        <f>MAX((MIN(G14,$C$4)-F14+1)*H14,0)</f>
        <v>#REF!</v>
      </c>
      <c r="J14" s="4"/>
      <c r="K14" s="26" t="e">
        <f>VLOOKUP($C$3,#REF!,27,0)</f>
        <v>#REF!</v>
      </c>
      <c r="L14" s="26" t="e">
        <f>VLOOKUP($C$3,#REF!,28,0)</f>
        <v>#REF!</v>
      </c>
      <c r="M14" s="29" t="e">
        <f>VLOOKUP($C$3,#REF!,39,0)</f>
        <v>#REF!</v>
      </c>
      <c r="N14" s="29" t="e">
        <f t="shared" si="0"/>
        <v>#REF!</v>
      </c>
      <c r="O14" s="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1:60" hidden="1" x14ac:dyDescent="0.4">
      <c r="A15" s="2"/>
      <c r="B15" s="2"/>
      <c r="C15" s="2"/>
      <c r="D15" s="2"/>
      <c r="E15" s="2"/>
      <c r="F15" s="86" t="str">
        <f>IF($C$3="船舶用","※1m3につき　350円（税抜）",IF(C3="臨時用","※1m3につき 505円（税抜）",""))</f>
        <v/>
      </c>
      <c r="G15" s="87"/>
      <c r="H15" s="87"/>
      <c r="I15" s="88"/>
      <c r="J15" s="4"/>
      <c r="K15" s="26" t="e">
        <f>VLOOKUP($C$3,#REF!,29,0)</f>
        <v>#REF!</v>
      </c>
      <c r="L15" s="26" t="e">
        <f>VLOOKUP($C$3,#REF!,30,0)</f>
        <v>#REF!</v>
      </c>
      <c r="M15" s="29" t="e">
        <f>IF(K15=0,0,VLOOKUP($C$3,#REF!,40,0))</f>
        <v>#REF!</v>
      </c>
      <c r="N15" s="29" t="e">
        <f t="shared" si="0"/>
        <v>#REF!</v>
      </c>
      <c r="O15" s="2"/>
      <c r="Q15" t="s">
        <v>21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1:60" hidden="1" x14ac:dyDescent="0.4">
      <c r="A16" s="2"/>
      <c r="B16" s="2"/>
      <c r="C16" s="2"/>
      <c r="D16" s="2"/>
      <c r="E16" s="2"/>
      <c r="F16" s="33"/>
      <c r="G16" s="33"/>
      <c r="H16" s="33"/>
      <c r="I16" s="33"/>
      <c r="J16" s="4"/>
      <c r="K16" s="26" t="e">
        <f>VLOOKUP($C$3,#REF!,31,0)</f>
        <v>#REF!</v>
      </c>
      <c r="L16" s="26" t="e">
        <f>VLOOKUP($C$3,#REF!,32,0)</f>
        <v>#REF!</v>
      </c>
      <c r="M16" s="29" t="e">
        <f>IF(K16=0,0,VLOOKUP($C$3,#REF!,41,0))</f>
        <v>#REF!</v>
      </c>
      <c r="N16" s="29" t="e">
        <f t="shared" si="0"/>
        <v>#REF!</v>
      </c>
      <c r="O16" s="2"/>
      <c r="Q16"/>
      <c r="R16"/>
      <c r="S16"/>
      <c r="T16"/>
      <c r="U16"/>
      <c r="V16"/>
      <c r="W16"/>
      <c r="X16"/>
      <c r="Y16"/>
      <c r="Z16"/>
      <c r="AA16"/>
      <c r="AB16"/>
      <c r="AC16" t="s">
        <v>5</v>
      </c>
      <c r="AD16"/>
      <c r="AE16"/>
      <c r="AF16"/>
      <c r="AG16"/>
      <c r="AH16"/>
      <c r="AI16" t="s">
        <v>14</v>
      </c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1:66" hidden="1" x14ac:dyDescent="0.4">
      <c r="A17" s="2"/>
      <c r="B17" s="2"/>
      <c r="C17" s="2"/>
      <c r="D17" s="2"/>
      <c r="E17" s="2"/>
      <c r="F17" s="34"/>
      <c r="G17" s="34"/>
      <c r="H17" s="34"/>
      <c r="I17" s="34"/>
      <c r="J17" s="4"/>
      <c r="K17" s="26" t="e">
        <f>VLOOKUP($C$3,#REF!,33,0)</f>
        <v>#REF!</v>
      </c>
      <c r="L17" s="26" t="e">
        <f>VLOOKUP($C$3,#REF!,34,0)</f>
        <v>#REF!</v>
      </c>
      <c r="M17" s="29" t="e">
        <f>IF(K17=0,0,VLOOKUP($C$3,#REF!,42,0))</f>
        <v>#REF!</v>
      </c>
      <c r="N17" s="29" t="e">
        <f t="shared" si="0"/>
        <v>#REF!</v>
      </c>
      <c r="O17" s="2"/>
      <c r="Q17" t="s">
        <v>35</v>
      </c>
      <c r="R17" t="s">
        <v>7</v>
      </c>
      <c r="S17">
        <v>1</v>
      </c>
      <c r="T17">
        <v>8</v>
      </c>
      <c r="U17">
        <v>9</v>
      </c>
      <c r="V17">
        <v>20</v>
      </c>
      <c r="W17">
        <v>21</v>
      </c>
      <c r="X17">
        <v>100</v>
      </c>
      <c r="Y17">
        <v>101</v>
      </c>
      <c r="Z17">
        <v>300</v>
      </c>
      <c r="AA17">
        <v>301</v>
      </c>
      <c r="AB17">
        <v>99999</v>
      </c>
      <c r="AC17">
        <v>1054</v>
      </c>
      <c r="AD17">
        <v>205</v>
      </c>
      <c r="AE17">
        <v>228</v>
      </c>
      <c r="AF17">
        <v>260</v>
      </c>
      <c r="AG17">
        <v>287</v>
      </c>
      <c r="AH17"/>
      <c r="AI17">
        <v>1</v>
      </c>
      <c r="AJ17">
        <v>10</v>
      </c>
      <c r="AK17">
        <v>11</v>
      </c>
      <c r="AL17">
        <v>30</v>
      </c>
      <c r="AM17">
        <v>31</v>
      </c>
      <c r="AN17">
        <v>50</v>
      </c>
      <c r="AO17">
        <v>51</v>
      </c>
      <c r="AP17">
        <v>100</v>
      </c>
      <c r="AQ17">
        <v>101</v>
      </c>
      <c r="AR17">
        <v>300</v>
      </c>
      <c r="AS17">
        <v>301</v>
      </c>
      <c r="AT17">
        <v>99999</v>
      </c>
      <c r="AU17"/>
      <c r="AV17"/>
      <c r="AW17"/>
      <c r="AX17"/>
      <c r="AY17">
        <v>650</v>
      </c>
      <c r="AZ17">
        <v>95</v>
      </c>
      <c r="BA17">
        <v>110</v>
      </c>
      <c r="BB17">
        <v>130</v>
      </c>
      <c r="BC17">
        <v>155</v>
      </c>
      <c r="BD17">
        <v>175</v>
      </c>
      <c r="BE17"/>
      <c r="BF17"/>
      <c r="BG17"/>
      <c r="BH17"/>
    </row>
    <row r="18" spans="1:66" ht="24" x14ac:dyDescent="0.4">
      <c r="A18" s="2"/>
      <c r="B18" s="68" t="s">
        <v>39</v>
      </c>
      <c r="C18" s="68"/>
      <c r="D18" s="68"/>
      <c r="E18" s="68"/>
      <c r="F18" s="72" t="s">
        <v>13</v>
      </c>
      <c r="G18" s="73"/>
      <c r="H18" s="74"/>
      <c r="I18" s="6" t="s">
        <v>9</v>
      </c>
      <c r="J18" s="17"/>
      <c r="K18" s="72" t="s">
        <v>15</v>
      </c>
      <c r="L18" s="73"/>
      <c r="M18" s="74"/>
      <c r="N18" s="6" t="s">
        <v>9</v>
      </c>
      <c r="O18" s="2"/>
      <c r="P18" s="49">
        <v>5</v>
      </c>
      <c r="Q18" t="s">
        <v>26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</row>
    <row r="19" spans="1:66" x14ac:dyDescent="0.4">
      <c r="A19" s="2"/>
      <c r="B19" s="78" t="s">
        <v>27</v>
      </c>
      <c r="C19" s="78"/>
      <c r="D19" s="78"/>
      <c r="E19" s="78"/>
      <c r="F19" s="75"/>
      <c r="G19" s="76"/>
      <c r="H19" s="77"/>
      <c r="I19" s="18">
        <f>VLOOKUP($B$21,$Q$30:$AC$35,13,0)</f>
        <v>1054</v>
      </c>
      <c r="J19" s="4"/>
      <c r="K19" s="75"/>
      <c r="L19" s="76"/>
      <c r="M19" s="77"/>
      <c r="N19" s="18">
        <f>VLOOKUP($B$21,$Q$30:$AY$35,35,0)</f>
        <v>650</v>
      </c>
      <c r="O19" s="2"/>
      <c r="P19" s="49">
        <v>6</v>
      </c>
      <c r="Q19"/>
      <c r="R19"/>
      <c r="S19"/>
      <c r="T19"/>
      <c r="U19"/>
      <c r="V19"/>
      <c r="W19"/>
      <c r="X19"/>
      <c r="Y19"/>
      <c r="Z19"/>
      <c r="AA19"/>
      <c r="AB19"/>
      <c r="AC19" t="s">
        <v>5</v>
      </c>
      <c r="AD19"/>
      <c r="AE19"/>
      <c r="AF19"/>
      <c r="AG19"/>
      <c r="AH19"/>
      <c r="AI19" t="s">
        <v>14</v>
      </c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x14ac:dyDescent="0.4">
      <c r="A20" s="17"/>
      <c r="B20" s="6"/>
      <c r="C20" s="6" t="s">
        <v>4</v>
      </c>
      <c r="D20" s="20" t="str">
        <f>C5</f>
        <v>下水道（有）</v>
      </c>
      <c r="E20" s="6" t="s">
        <v>12</v>
      </c>
      <c r="F20" s="22" t="s">
        <v>0</v>
      </c>
      <c r="G20" s="22" t="s">
        <v>1</v>
      </c>
      <c r="H20" s="22" t="s">
        <v>2</v>
      </c>
      <c r="I20" s="22" t="s">
        <v>11</v>
      </c>
      <c r="J20" s="23"/>
      <c r="K20" s="22" t="s">
        <v>0</v>
      </c>
      <c r="L20" s="22" t="s">
        <v>1</v>
      </c>
      <c r="M20" s="22" t="s">
        <v>2</v>
      </c>
      <c r="N20" s="22" t="s">
        <v>11</v>
      </c>
      <c r="O20" s="2"/>
      <c r="P20" s="49">
        <v>7</v>
      </c>
      <c r="Q20" t="s">
        <v>35</v>
      </c>
      <c r="R20" t="s">
        <v>7</v>
      </c>
      <c r="S20">
        <v>1</v>
      </c>
      <c r="T20">
        <v>8</v>
      </c>
      <c r="U20">
        <v>9</v>
      </c>
      <c r="V20">
        <v>20</v>
      </c>
      <c r="W20">
        <v>21</v>
      </c>
      <c r="X20">
        <v>100</v>
      </c>
      <c r="Y20">
        <v>101</v>
      </c>
      <c r="Z20">
        <v>300</v>
      </c>
      <c r="AA20">
        <v>301</v>
      </c>
      <c r="AB20">
        <v>99999</v>
      </c>
      <c r="AC20">
        <v>971</v>
      </c>
      <c r="AD20">
        <v>189</v>
      </c>
      <c r="AE20">
        <v>210</v>
      </c>
      <c r="AF20">
        <v>240</v>
      </c>
      <c r="AG20">
        <v>264</v>
      </c>
      <c r="AH20"/>
      <c r="AI20">
        <v>1</v>
      </c>
      <c r="AJ20">
        <v>10</v>
      </c>
      <c r="AK20">
        <v>11</v>
      </c>
      <c r="AL20">
        <v>30</v>
      </c>
      <c r="AM20">
        <v>31</v>
      </c>
      <c r="AN20">
        <v>50</v>
      </c>
      <c r="AO20">
        <v>51</v>
      </c>
      <c r="AP20">
        <v>100</v>
      </c>
      <c r="AQ20">
        <v>101</v>
      </c>
      <c r="AR20">
        <v>300</v>
      </c>
      <c r="AS20">
        <v>301</v>
      </c>
      <c r="AT20">
        <v>99999</v>
      </c>
      <c r="AU20"/>
      <c r="AV20"/>
      <c r="AW20"/>
      <c r="AX20"/>
      <c r="AY20">
        <v>650</v>
      </c>
      <c r="AZ20">
        <v>95</v>
      </c>
      <c r="BA20">
        <v>110</v>
      </c>
      <c r="BB20">
        <v>130</v>
      </c>
      <c r="BC20">
        <v>155</v>
      </c>
      <c r="BD20">
        <v>175</v>
      </c>
      <c r="BE20"/>
      <c r="BF20"/>
      <c r="BG20"/>
      <c r="BH20"/>
      <c r="BI20"/>
      <c r="BJ20"/>
      <c r="BK20"/>
      <c r="BL20"/>
      <c r="BM20"/>
      <c r="BN20"/>
    </row>
    <row r="21" spans="1:66" s="36" customFormat="1" x14ac:dyDescent="0.4">
      <c r="A21" s="2"/>
      <c r="B21" s="35" t="str">
        <f>C3</f>
        <v>家庭用</v>
      </c>
      <c r="C21" s="25">
        <f>IF(OR(計算表!C3="臨時用",計算表!C3="船舶用"),ROUNDDOWN(($C$4*VLOOKUP(C3,$Q$31:$AH$35,18,0)),0),ROUNDDOWN((IF(C4="","",SUM($I$19,I22:I25))),0))</f>
        <v>1054</v>
      </c>
      <c r="D21" s="25">
        <f>IF(D20="下水道（有）",ROUNDDOWN((IF(C4="","",SUM($N$19,N22:N28))),0),0)</f>
        <v>650</v>
      </c>
      <c r="E21" s="25">
        <f>SUM(C21:D21)</f>
        <v>1704</v>
      </c>
      <c r="F21" s="26">
        <f>VLOOKUP($B$21,$Q$30:$T$35,3,0)</f>
        <v>1</v>
      </c>
      <c r="G21" s="26">
        <f>VLOOKUP($B$21,$Q$30:$T$35,4,0)</f>
        <v>8</v>
      </c>
      <c r="H21" s="27" t="s">
        <v>29</v>
      </c>
      <c r="I21" s="27" t="s">
        <v>29</v>
      </c>
      <c r="J21" s="4"/>
      <c r="K21" s="26">
        <f>VLOOKUP($C$3,$Q$30:$AI$35,19,0)</f>
        <v>1</v>
      </c>
      <c r="L21" s="26">
        <f>VLOOKUP($C$3,$Q$30:$AJ$35,20,0)</f>
        <v>10</v>
      </c>
      <c r="M21" s="27" t="s">
        <v>43</v>
      </c>
      <c r="N21" s="27" t="s">
        <v>43</v>
      </c>
      <c r="O21" s="17"/>
      <c r="P21" s="49">
        <v>8</v>
      </c>
      <c r="Q21" t="s">
        <v>31</v>
      </c>
      <c r="R21" t="s">
        <v>8</v>
      </c>
      <c r="S21">
        <v>1</v>
      </c>
      <c r="T21">
        <v>10</v>
      </c>
      <c r="U21">
        <v>11</v>
      </c>
      <c r="V21">
        <v>30</v>
      </c>
      <c r="W21">
        <v>31</v>
      </c>
      <c r="X21">
        <v>100</v>
      </c>
      <c r="Y21">
        <v>101</v>
      </c>
      <c r="Z21">
        <v>300</v>
      </c>
      <c r="AA21">
        <v>301</v>
      </c>
      <c r="AB21">
        <v>99999</v>
      </c>
      <c r="AC21">
        <v>1554</v>
      </c>
      <c r="AD21">
        <v>210</v>
      </c>
      <c r="AE21">
        <v>240</v>
      </c>
      <c r="AF21">
        <v>264</v>
      </c>
      <c r="AG21">
        <v>284</v>
      </c>
      <c r="AH21"/>
      <c r="AI21">
        <v>1</v>
      </c>
      <c r="AJ21">
        <v>10</v>
      </c>
      <c r="AK21">
        <v>11</v>
      </c>
      <c r="AL21">
        <v>30</v>
      </c>
      <c r="AM21">
        <v>31</v>
      </c>
      <c r="AN21">
        <v>50</v>
      </c>
      <c r="AO21">
        <v>51</v>
      </c>
      <c r="AP21">
        <v>100</v>
      </c>
      <c r="AQ21">
        <v>101</v>
      </c>
      <c r="AR21">
        <v>300</v>
      </c>
      <c r="AS21">
        <v>301</v>
      </c>
      <c r="AT21">
        <v>500</v>
      </c>
      <c r="AU21">
        <v>501</v>
      </c>
      <c r="AV21">
        <v>1000</v>
      </c>
      <c r="AW21">
        <v>1001</v>
      </c>
      <c r="AX21">
        <v>99999</v>
      </c>
      <c r="AY21">
        <v>900</v>
      </c>
      <c r="AZ21">
        <v>120</v>
      </c>
      <c r="BA21">
        <v>140</v>
      </c>
      <c r="BB21">
        <v>145</v>
      </c>
      <c r="BC21">
        <v>160</v>
      </c>
      <c r="BD21">
        <v>180</v>
      </c>
      <c r="BE21">
        <v>185</v>
      </c>
      <c r="BF21">
        <v>188</v>
      </c>
      <c r="BG21"/>
      <c r="BH21"/>
      <c r="BI21"/>
      <c r="BJ21"/>
      <c r="BK21"/>
      <c r="BL21"/>
      <c r="BM21"/>
      <c r="BN21"/>
    </row>
    <row r="22" spans="1:66" x14ac:dyDescent="0.4">
      <c r="A22" s="17"/>
      <c r="B22" s="6" t="s">
        <v>24</v>
      </c>
      <c r="C22" s="28">
        <f>IF(C3="基地用",0,ROUNDDOWN(C21*0.1,0))</f>
        <v>105</v>
      </c>
      <c r="D22" s="28">
        <f>IF(B21="基地用",0,ROUNDDOWN(D21*0.1,0))</f>
        <v>65</v>
      </c>
      <c r="E22" s="28">
        <f>SUM(C22:D22)</f>
        <v>170</v>
      </c>
      <c r="F22" s="26">
        <f>VLOOKUP($B$21,$Q$30:$U$35,5,0)</f>
        <v>9</v>
      </c>
      <c r="G22" s="26">
        <f>VLOOKUP(B$21,$Q30:$V35,6,0)</f>
        <v>20</v>
      </c>
      <c r="H22" s="29">
        <f>VLOOKUP($B$21,$Q$30:$AD$35,14,0)</f>
        <v>205</v>
      </c>
      <c r="I22" s="29">
        <f>MAX((MIN(G22,$C$4)-F22+1)*H22,0)</f>
        <v>0</v>
      </c>
      <c r="J22" s="30"/>
      <c r="K22" s="26">
        <f>VLOOKUP($C$3,$Q$30:$AK$36,21,0)</f>
        <v>11</v>
      </c>
      <c r="L22" s="26">
        <f>VLOOKUP($C$3,$Q$30:$AL$36,22,0)</f>
        <v>30</v>
      </c>
      <c r="M22" s="29">
        <f>VLOOKUP($C$3,$Q$30:$AZ$35,36,0)</f>
        <v>95</v>
      </c>
      <c r="N22" s="29">
        <f t="shared" ref="N22:N28" si="1">MAX((MIN(L22,$C$4)-K22+1)*M22,0)</f>
        <v>0</v>
      </c>
      <c r="O22" s="2"/>
      <c r="P22" s="49">
        <v>9</v>
      </c>
      <c r="Q22" t="s">
        <v>32</v>
      </c>
      <c r="R22" t="s">
        <v>8</v>
      </c>
      <c r="S22">
        <v>1</v>
      </c>
      <c r="T22">
        <v>10</v>
      </c>
      <c r="U22">
        <v>11</v>
      </c>
      <c r="V22">
        <v>100</v>
      </c>
      <c r="W22">
        <v>101</v>
      </c>
      <c r="X22">
        <v>300</v>
      </c>
      <c r="Y22">
        <v>301</v>
      </c>
      <c r="Z22">
        <v>500</v>
      </c>
      <c r="AA22">
        <v>501</v>
      </c>
      <c r="AB22">
        <v>99999</v>
      </c>
      <c r="AC22">
        <v>1758</v>
      </c>
      <c r="AD22">
        <v>240</v>
      </c>
      <c r="AE22">
        <v>264</v>
      </c>
      <c r="AF22">
        <v>284</v>
      </c>
      <c r="AG22">
        <v>314</v>
      </c>
      <c r="AH22"/>
      <c r="AI22">
        <v>1</v>
      </c>
      <c r="AJ22">
        <v>10</v>
      </c>
      <c r="AK22">
        <v>11</v>
      </c>
      <c r="AL22">
        <v>30</v>
      </c>
      <c r="AM22">
        <v>31</v>
      </c>
      <c r="AN22">
        <v>50</v>
      </c>
      <c r="AO22">
        <v>51</v>
      </c>
      <c r="AP22">
        <v>100</v>
      </c>
      <c r="AQ22">
        <v>101</v>
      </c>
      <c r="AR22">
        <v>300</v>
      </c>
      <c r="AS22">
        <v>301</v>
      </c>
      <c r="AT22">
        <v>500</v>
      </c>
      <c r="AU22">
        <v>501</v>
      </c>
      <c r="AV22">
        <v>1000</v>
      </c>
      <c r="AW22">
        <v>1001</v>
      </c>
      <c r="AX22">
        <v>99999</v>
      </c>
      <c r="AY22">
        <v>900</v>
      </c>
      <c r="AZ22">
        <v>120</v>
      </c>
      <c r="BA22">
        <v>140</v>
      </c>
      <c r="BB22">
        <v>145</v>
      </c>
      <c r="BC22">
        <v>160</v>
      </c>
      <c r="BD22">
        <v>180</v>
      </c>
      <c r="BE22">
        <v>185</v>
      </c>
      <c r="BF22">
        <v>188</v>
      </c>
      <c r="BG22"/>
      <c r="BH22"/>
      <c r="BI22"/>
      <c r="BJ22"/>
      <c r="BK22"/>
      <c r="BL22"/>
      <c r="BM22"/>
      <c r="BN22"/>
    </row>
    <row r="23" spans="1:66" s="36" customFormat="1" x14ac:dyDescent="0.4">
      <c r="A23" s="2"/>
      <c r="B23" s="31" t="s">
        <v>25</v>
      </c>
      <c r="C23" s="32">
        <f>SUM(C21:C22)</f>
        <v>1159</v>
      </c>
      <c r="D23" s="32">
        <f>SUM(D21:D22)</f>
        <v>715</v>
      </c>
      <c r="E23" s="32">
        <f>SUM(E21:E22)</f>
        <v>1874</v>
      </c>
      <c r="F23" s="26">
        <f>VLOOKUP($B$21,$Q$30:$W$35,7,0)</f>
        <v>21</v>
      </c>
      <c r="G23" s="26">
        <f>VLOOKUP($B$21,$Q$30:$X$35,8,0)</f>
        <v>100</v>
      </c>
      <c r="H23" s="29">
        <f>VLOOKUP($B$21,$Q$30:$AE$35,15,0)</f>
        <v>228</v>
      </c>
      <c r="I23" s="29">
        <f>MAX((MIN(G23,$C$4)-F23+1)*H23,0)</f>
        <v>0</v>
      </c>
      <c r="J23" s="4"/>
      <c r="K23" s="26">
        <f>VLOOKUP($C$3,$Q$30:$AM$35,23,0)</f>
        <v>31</v>
      </c>
      <c r="L23" s="26">
        <f>VLOOKUP($C$3,$Q$30:$AN$35,24,0)</f>
        <v>50</v>
      </c>
      <c r="M23" s="29">
        <f>VLOOKUP($C$3,$Q$30:$BA$35,37,0)</f>
        <v>110</v>
      </c>
      <c r="N23" s="29">
        <f t="shared" si="1"/>
        <v>0</v>
      </c>
      <c r="O23" s="17"/>
      <c r="P23" s="49">
        <v>10</v>
      </c>
      <c r="Q23" t="s">
        <v>33</v>
      </c>
      <c r="R23"/>
      <c r="S23"/>
      <c r="T23"/>
      <c r="U23"/>
      <c r="V23"/>
      <c r="W23"/>
      <c r="X23"/>
      <c r="Y23"/>
      <c r="Z23"/>
      <c r="AA23"/>
      <c r="AB23"/>
      <c r="AC23">
        <v>0</v>
      </c>
      <c r="AD23">
        <v>0</v>
      </c>
      <c r="AE23">
        <v>0</v>
      </c>
      <c r="AF23">
        <v>0</v>
      </c>
      <c r="AG23">
        <v>0</v>
      </c>
      <c r="AH23">
        <v>505</v>
      </c>
      <c r="AI23">
        <v>1</v>
      </c>
      <c r="AJ23">
        <v>10</v>
      </c>
      <c r="AK23">
        <v>11</v>
      </c>
      <c r="AL23">
        <v>30</v>
      </c>
      <c r="AM23">
        <v>31</v>
      </c>
      <c r="AN23">
        <v>50</v>
      </c>
      <c r="AO23">
        <v>51</v>
      </c>
      <c r="AP23">
        <v>100</v>
      </c>
      <c r="AQ23">
        <v>101</v>
      </c>
      <c r="AR23">
        <v>300</v>
      </c>
      <c r="AS23">
        <v>301</v>
      </c>
      <c r="AT23">
        <v>500</v>
      </c>
      <c r="AU23">
        <v>501</v>
      </c>
      <c r="AV23">
        <v>1000</v>
      </c>
      <c r="AW23">
        <v>1001</v>
      </c>
      <c r="AX23">
        <v>99999</v>
      </c>
      <c r="AY23">
        <v>900</v>
      </c>
      <c r="AZ23">
        <v>120</v>
      </c>
      <c r="BA23">
        <v>140</v>
      </c>
      <c r="BB23">
        <v>145</v>
      </c>
      <c r="BC23">
        <v>160</v>
      </c>
      <c r="BD23">
        <v>180</v>
      </c>
      <c r="BE23">
        <v>185</v>
      </c>
      <c r="BF23">
        <v>188</v>
      </c>
      <c r="BG23"/>
      <c r="BH23"/>
      <c r="BI23"/>
      <c r="BJ23"/>
      <c r="BK23"/>
      <c r="BL23"/>
      <c r="BM23"/>
      <c r="BN23"/>
    </row>
    <row r="24" spans="1:66" x14ac:dyDescent="0.4">
      <c r="A24" s="17"/>
      <c r="B24" s="80"/>
      <c r="C24" s="80"/>
      <c r="D24" s="80"/>
      <c r="E24" s="80"/>
      <c r="F24" s="26">
        <f>VLOOKUP($B$21,$Q$30:$Y$35,9,0)</f>
        <v>101</v>
      </c>
      <c r="G24" s="26">
        <f>VLOOKUP($B$21,$Q$30:$Z$35,10,0)</f>
        <v>300</v>
      </c>
      <c r="H24" s="29">
        <f>VLOOKUP($B$21,$Q$30:$AF$35,16,0)</f>
        <v>260</v>
      </c>
      <c r="I24" s="29">
        <f>MAX((MIN(G24,$C$4)-F24+1)*H24,0)</f>
        <v>0</v>
      </c>
      <c r="J24" s="4"/>
      <c r="K24" s="26">
        <f>VLOOKUP($C$3,$Q$30:$AO$35,25,0)</f>
        <v>51</v>
      </c>
      <c r="L24" s="26">
        <f>VLOOKUP($C$3,$Q$30:$AP$36,26,0)</f>
        <v>100</v>
      </c>
      <c r="M24" s="29">
        <f>VLOOKUP($C$3,$Q$30:$BB$35,38,0)</f>
        <v>130</v>
      </c>
      <c r="N24" s="29">
        <f t="shared" si="1"/>
        <v>0</v>
      </c>
      <c r="O24" s="2"/>
      <c r="P24" s="49">
        <v>11</v>
      </c>
      <c r="Q24" t="s">
        <v>6</v>
      </c>
      <c r="R24" t="s">
        <v>8</v>
      </c>
      <c r="S24">
        <v>1</v>
      </c>
      <c r="T24">
        <v>10</v>
      </c>
      <c r="U24">
        <v>11</v>
      </c>
      <c r="V24">
        <v>100</v>
      </c>
      <c r="W24">
        <v>101</v>
      </c>
      <c r="X24">
        <v>300</v>
      </c>
      <c r="Y24">
        <v>301</v>
      </c>
      <c r="Z24">
        <v>500</v>
      </c>
      <c r="AA24">
        <v>501</v>
      </c>
      <c r="AB24">
        <v>99999</v>
      </c>
      <c r="AC24">
        <v>1810</v>
      </c>
      <c r="AD24">
        <v>246</v>
      </c>
      <c r="AE24">
        <v>272</v>
      </c>
      <c r="AF24">
        <v>293</v>
      </c>
      <c r="AG24">
        <v>323</v>
      </c>
      <c r="AH24"/>
      <c r="AI24">
        <v>1</v>
      </c>
      <c r="AJ24">
        <v>10</v>
      </c>
      <c r="AK24">
        <v>11</v>
      </c>
      <c r="AL24">
        <v>30</v>
      </c>
      <c r="AM24">
        <v>31</v>
      </c>
      <c r="AN24">
        <v>50</v>
      </c>
      <c r="AO24">
        <v>51</v>
      </c>
      <c r="AP24">
        <v>100</v>
      </c>
      <c r="AQ24">
        <v>101</v>
      </c>
      <c r="AR24">
        <v>300</v>
      </c>
      <c r="AS24">
        <v>301</v>
      </c>
      <c r="AT24">
        <v>500</v>
      </c>
      <c r="AU24">
        <v>501</v>
      </c>
      <c r="AV24">
        <v>1000</v>
      </c>
      <c r="AW24">
        <v>1001</v>
      </c>
      <c r="AX24">
        <v>99999</v>
      </c>
      <c r="AY24">
        <v>900</v>
      </c>
      <c r="AZ24">
        <v>120</v>
      </c>
      <c r="BA24">
        <v>140</v>
      </c>
      <c r="BB24">
        <v>145</v>
      </c>
      <c r="BC24">
        <v>160</v>
      </c>
      <c r="BD24">
        <v>180</v>
      </c>
      <c r="BE24">
        <v>185</v>
      </c>
      <c r="BF24">
        <v>188</v>
      </c>
      <c r="BG24"/>
      <c r="BH24"/>
      <c r="BI24"/>
      <c r="BJ24"/>
      <c r="BK24"/>
      <c r="BL24"/>
      <c r="BM24"/>
      <c r="BN24"/>
    </row>
    <row r="25" spans="1:66" x14ac:dyDescent="0.4">
      <c r="A25" s="2"/>
      <c r="B25" s="44"/>
      <c r="C25" s="44"/>
      <c r="D25" s="44"/>
      <c r="E25" s="44"/>
      <c r="F25" s="26">
        <f>VLOOKUP($B$21,$Q$30:$AA$35,11,0)</f>
        <v>301</v>
      </c>
      <c r="G25" s="26">
        <f>VLOOKUP($B$21,$Q$30:$AB$35,12,0)</f>
        <v>99999</v>
      </c>
      <c r="H25" s="29">
        <f>VLOOKUP($B$21,$Q$30:$AG$35,17,0)</f>
        <v>287</v>
      </c>
      <c r="I25" s="29">
        <f>MAX((MIN(G25,$C$4)-F25+1)*H25,0)</f>
        <v>0</v>
      </c>
      <c r="J25" s="4"/>
      <c r="K25" s="26">
        <f>VLOOKUP($C$3,$Q$30:$AQ$35,27,0)</f>
        <v>101</v>
      </c>
      <c r="L25" s="26">
        <f>VLOOKUP($C$3,$Q$30:$AR$35,28,0)</f>
        <v>300</v>
      </c>
      <c r="M25" s="29">
        <f>VLOOKUP($C$3,$Q$30:$BC$35,39,0)</f>
        <v>155</v>
      </c>
      <c r="N25" s="29">
        <f t="shared" si="1"/>
        <v>0</v>
      </c>
      <c r="O25" s="2"/>
      <c r="P25" s="49">
        <v>12</v>
      </c>
      <c r="Q25" t="s">
        <v>34</v>
      </c>
      <c r="R25"/>
      <c r="S25"/>
      <c r="T25"/>
      <c r="U25"/>
      <c r="V25"/>
      <c r="W25"/>
      <c r="X25"/>
      <c r="Y25"/>
      <c r="Z25"/>
      <c r="AA25"/>
      <c r="AB25"/>
      <c r="AC25">
        <v>0</v>
      </c>
      <c r="AD25">
        <v>0</v>
      </c>
      <c r="AE25">
        <v>0</v>
      </c>
      <c r="AF25">
        <v>0</v>
      </c>
      <c r="AG25">
        <v>0</v>
      </c>
      <c r="AH25">
        <v>350</v>
      </c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 t="s">
        <v>22</v>
      </c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</row>
    <row r="26" spans="1:66" x14ac:dyDescent="0.4">
      <c r="A26" s="2"/>
      <c r="B26" s="45"/>
      <c r="C26" s="46"/>
      <c r="D26" s="46"/>
      <c r="E26" s="46"/>
      <c r="F26" s="60" t="str">
        <f>IF(B21="船舶用","※1m3につき　380円",IF(B21="臨時用","※1m3につき 548円（税抜）",""))</f>
        <v/>
      </c>
      <c r="G26" s="60"/>
      <c r="H26" s="60"/>
      <c r="I26" s="81" t="str">
        <f>IF(OR(C3="家庭用",C3="営業用",C3="官公署用",C3="基地用"),"減免前の基本料金","")</f>
        <v>減免前の基本料金</v>
      </c>
      <c r="J26" s="4"/>
      <c r="K26" s="26">
        <f>VLOOKUP($C$3,$Q$30:$AS$35,29,0)</f>
        <v>301</v>
      </c>
      <c r="L26" s="26">
        <f>VLOOKUP($C$3,$Q$30:$AT$35,30,0)</f>
        <v>99999</v>
      </c>
      <c r="M26" s="29">
        <f>IF(K26=0,0,VLOOKUP($C$3,$Q$30:$BD$35,40,0))</f>
        <v>175</v>
      </c>
      <c r="N26" s="29">
        <f t="shared" si="1"/>
        <v>0</v>
      </c>
      <c r="O26" s="2"/>
      <c r="P26" s="49">
        <v>13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>
        <v>14</v>
      </c>
      <c r="AE26">
        <v>15</v>
      </c>
      <c r="AF26">
        <v>16</v>
      </c>
      <c r="AG26">
        <v>17</v>
      </c>
      <c r="AH26">
        <v>18</v>
      </c>
      <c r="AI26">
        <v>19</v>
      </c>
      <c r="AJ26">
        <v>20</v>
      </c>
      <c r="AK26">
        <v>21</v>
      </c>
      <c r="AL26">
        <v>22</v>
      </c>
      <c r="AM26">
        <v>23</v>
      </c>
      <c r="AN26">
        <v>24</v>
      </c>
      <c r="AO26">
        <v>25</v>
      </c>
      <c r="AP26">
        <v>26</v>
      </c>
      <c r="AQ26">
        <v>27</v>
      </c>
      <c r="AR26">
        <v>28</v>
      </c>
      <c r="AS26">
        <v>29</v>
      </c>
      <c r="AT26">
        <v>30</v>
      </c>
      <c r="AU26">
        <v>31</v>
      </c>
      <c r="AV26">
        <v>32</v>
      </c>
      <c r="AW26">
        <v>33</v>
      </c>
      <c r="AX26">
        <v>34</v>
      </c>
      <c r="AY26">
        <v>35</v>
      </c>
      <c r="AZ26">
        <v>36</v>
      </c>
      <c r="BA26">
        <v>37</v>
      </c>
      <c r="BB26">
        <v>38</v>
      </c>
      <c r="BC26">
        <v>39</v>
      </c>
      <c r="BD26">
        <v>40</v>
      </c>
      <c r="BE26">
        <v>41</v>
      </c>
      <c r="BF26">
        <v>42</v>
      </c>
      <c r="BG26"/>
      <c r="BH26"/>
      <c r="BI26"/>
      <c r="BJ26"/>
      <c r="BK26"/>
      <c r="BL26"/>
      <c r="BM26"/>
      <c r="BN26"/>
    </row>
    <row r="27" spans="1:66" x14ac:dyDescent="0.4">
      <c r="A27" s="2"/>
      <c r="B27" s="63"/>
      <c r="C27" s="64"/>
      <c r="D27" s="64"/>
      <c r="E27" s="65"/>
      <c r="F27" s="37"/>
      <c r="G27" s="37"/>
      <c r="H27" s="59"/>
      <c r="I27" s="82"/>
      <c r="J27" s="4"/>
      <c r="K27" s="26">
        <f>VLOOKUP($C$3,$Q$30:$AX$35,31,0)</f>
        <v>0</v>
      </c>
      <c r="L27" s="26">
        <f>VLOOKUP($C$3,$Q$30:$AV$35,32,0)</f>
        <v>0</v>
      </c>
      <c r="M27" s="29">
        <f>IF(K27=0,0,VLOOKUP($C$3,$Q$30:$BE$35,41,0))</f>
        <v>0</v>
      </c>
      <c r="N27" s="29">
        <f t="shared" si="1"/>
        <v>0</v>
      </c>
      <c r="O27" s="2"/>
      <c r="P27" s="49">
        <v>14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25.5" x14ac:dyDescent="0.4">
      <c r="A28" s="2"/>
      <c r="B28" s="71" t="str">
        <f>IF(OR(C3="船舶用",C3="臨時用"),"","基本料金から一律125円（税抜）減免")</f>
        <v>基本料金から一律125円（税抜）減免</v>
      </c>
      <c r="C28" s="71"/>
      <c r="D28" s="71"/>
      <c r="E28" s="71"/>
      <c r="F28" s="37"/>
      <c r="G28" s="4"/>
      <c r="H28" s="57"/>
      <c r="I28" s="61" t="str">
        <f>VLOOKUP(C3,Q47:S52,3,0)</f>
        <v>1,074円</v>
      </c>
      <c r="J28" s="4"/>
      <c r="K28" s="26">
        <f>VLOOKUP($C$3,$Q$30:$AW$35,33,0)</f>
        <v>0</v>
      </c>
      <c r="L28" s="26">
        <f>VLOOKUP($C$3,$Q$30:$AX$35,34,0)</f>
        <v>0</v>
      </c>
      <c r="M28" s="29">
        <f>IF(K28=0,0,VLOOKUP($C$3,$Q$30:$BF$35,42,0))</f>
        <v>0</v>
      </c>
      <c r="N28" s="29">
        <f t="shared" si="1"/>
        <v>0</v>
      </c>
      <c r="O28" s="2"/>
      <c r="P28" s="49">
        <v>15</v>
      </c>
      <c r="Q28" t="s">
        <v>21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37.5" x14ac:dyDescent="0.4">
      <c r="A29" s="4"/>
      <c r="B29" s="68" t="s">
        <v>51</v>
      </c>
      <c r="C29" s="68"/>
      <c r="D29" s="68"/>
      <c r="E29" s="68"/>
      <c r="F29" s="72" t="s">
        <v>23</v>
      </c>
      <c r="G29" s="73"/>
      <c r="H29" s="79"/>
      <c r="I29" s="62" t="s">
        <v>58</v>
      </c>
      <c r="J29" s="4"/>
      <c r="K29" s="72" t="s">
        <v>15</v>
      </c>
      <c r="L29" s="73"/>
      <c r="M29" s="74"/>
      <c r="N29" s="6" t="s">
        <v>9</v>
      </c>
      <c r="O29" s="2"/>
      <c r="P29" s="49">
        <v>16</v>
      </c>
      <c r="Q29"/>
      <c r="R29"/>
      <c r="S29"/>
      <c r="T29"/>
      <c r="U29"/>
      <c r="V29"/>
      <c r="W29"/>
      <c r="X29"/>
      <c r="Y29"/>
      <c r="Z29"/>
      <c r="AA29"/>
      <c r="AB29"/>
      <c r="AC29" t="s">
        <v>5</v>
      </c>
      <c r="AD29"/>
      <c r="AE29"/>
      <c r="AF29"/>
      <c r="AG29"/>
      <c r="AH29"/>
      <c r="AI29" t="s">
        <v>14</v>
      </c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x14ac:dyDescent="0.4">
      <c r="A30" s="4"/>
      <c r="B30" s="83" t="s">
        <v>27</v>
      </c>
      <c r="C30" s="84"/>
      <c r="D30" s="84"/>
      <c r="E30" s="85"/>
      <c r="F30" s="75"/>
      <c r="G30" s="76"/>
      <c r="H30" s="77"/>
      <c r="I30" s="18">
        <f>VLOOKUP($B$21,$Q$39:$AI$44,19,0)</f>
        <v>949</v>
      </c>
      <c r="J30" s="4"/>
      <c r="K30" s="75"/>
      <c r="L30" s="76"/>
      <c r="M30" s="77"/>
      <c r="N30" s="18">
        <f>VLOOKUP($B$21,$Q$30:$AY$35,35,0)</f>
        <v>650</v>
      </c>
      <c r="O30" s="2"/>
      <c r="P30" s="49">
        <v>17</v>
      </c>
      <c r="Q30" t="s">
        <v>35</v>
      </c>
      <c r="R30" t="s">
        <v>7</v>
      </c>
      <c r="S30">
        <v>1</v>
      </c>
      <c r="T30">
        <v>8</v>
      </c>
      <c r="U30">
        <v>9</v>
      </c>
      <c r="V30">
        <v>20</v>
      </c>
      <c r="W30">
        <v>21</v>
      </c>
      <c r="X30">
        <v>100</v>
      </c>
      <c r="Y30">
        <v>101</v>
      </c>
      <c r="Z30">
        <v>300</v>
      </c>
      <c r="AA30">
        <v>301</v>
      </c>
      <c r="AB30">
        <v>99999</v>
      </c>
      <c r="AC30">
        <v>1054</v>
      </c>
      <c r="AD30">
        <v>205</v>
      </c>
      <c r="AE30">
        <v>228</v>
      </c>
      <c r="AF30">
        <v>260</v>
      </c>
      <c r="AG30">
        <v>287</v>
      </c>
      <c r="AH30"/>
      <c r="AI30">
        <v>1</v>
      </c>
      <c r="AJ30">
        <v>10</v>
      </c>
      <c r="AK30">
        <v>11</v>
      </c>
      <c r="AL30">
        <v>30</v>
      </c>
      <c r="AM30">
        <v>31</v>
      </c>
      <c r="AN30">
        <v>50</v>
      </c>
      <c r="AO30">
        <v>51</v>
      </c>
      <c r="AP30">
        <v>100</v>
      </c>
      <c r="AQ30">
        <v>101</v>
      </c>
      <c r="AR30">
        <v>300</v>
      </c>
      <c r="AS30">
        <v>301</v>
      </c>
      <c r="AT30">
        <v>99999</v>
      </c>
      <c r="AU30"/>
      <c r="AV30"/>
      <c r="AW30"/>
      <c r="AX30"/>
      <c r="AY30">
        <v>650</v>
      </c>
      <c r="AZ30">
        <v>95</v>
      </c>
      <c r="BA30">
        <v>110</v>
      </c>
      <c r="BB30">
        <v>130</v>
      </c>
      <c r="BC30">
        <v>155</v>
      </c>
      <c r="BD30">
        <v>175</v>
      </c>
      <c r="BE30"/>
      <c r="BF30"/>
      <c r="BG30"/>
      <c r="BH30"/>
      <c r="BI30"/>
      <c r="BJ30"/>
      <c r="BK30"/>
      <c r="BL30"/>
      <c r="BM30"/>
      <c r="BN30"/>
    </row>
    <row r="31" spans="1:66" x14ac:dyDescent="0.4">
      <c r="A31" s="4"/>
      <c r="B31" s="20" t="s">
        <v>3</v>
      </c>
      <c r="C31" s="20" t="s">
        <v>4</v>
      </c>
      <c r="D31" s="20" t="str">
        <f>$D$20</f>
        <v>下水道（有）</v>
      </c>
      <c r="E31" s="20" t="s">
        <v>12</v>
      </c>
      <c r="F31" s="22" t="s">
        <v>17</v>
      </c>
      <c r="G31" s="22" t="s">
        <v>18</v>
      </c>
      <c r="H31" s="22" t="s">
        <v>19</v>
      </c>
      <c r="I31" s="22" t="s">
        <v>10</v>
      </c>
      <c r="J31" s="4"/>
      <c r="K31" s="22" t="s">
        <v>0</v>
      </c>
      <c r="L31" s="22" t="s">
        <v>1</v>
      </c>
      <c r="M31" s="22" t="s">
        <v>2</v>
      </c>
      <c r="N31" s="22" t="s">
        <v>11</v>
      </c>
      <c r="O31" s="2"/>
      <c r="P31" s="49">
        <v>18</v>
      </c>
      <c r="Q31" t="s">
        <v>31</v>
      </c>
      <c r="R31" t="s">
        <v>8</v>
      </c>
      <c r="S31">
        <v>1</v>
      </c>
      <c r="T31">
        <v>10</v>
      </c>
      <c r="U31">
        <v>11</v>
      </c>
      <c r="V31">
        <v>30</v>
      </c>
      <c r="W31">
        <v>31</v>
      </c>
      <c r="X31">
        <v>100</v>
      </c>
      <c r="Y31">
        <v>101</v>
      </c>
      <c r="Z31">
        <v>300</v>
      </c>
      <c r="AA31">
        <v>301</v>
      </c>
      <c r="AB31">
        <v>99999</v>
      </c>
      <c r="AC31">
        <v>1687</v>
      </c>
      <c r="AD31">
        <v>228</v>
      </c>
      <c r="AE31">
        <v>260</v>
      </c>
      <c r="AF31">
        <v>287</v>
      </c>
      <c r="AG31">
        <v>308</v>
      </c>
      <c r="AH31"/>
      <c r="AI31">
        <v>1</v>
      </c>
      <c r="AJ31">
        <v>10</v>
      </c>
      <c r="AK31">
        <v>11</v>
      </c>
      <c r="AL31">
        <v>30</v>
      </c>
      <c r="AM31">
        <v>31</v>
      </c>
      <c r="AN31">
        <v>50</v>
      </c>
      <c r="AO31">
        <v>51</v>
      </c>
      <c r="AP31">
        <v>100</v>
      </c>
      <c r="AQ31">
        <v>101</v>
      </c>
      <c r="AR31">
        <v>300</v>
      </c>
      <c r="AS31">
        <v>301</v>
      </c>
      <c r="AT31">
        <v>500</v>
      </c>
      <c r="AU31">
        <v>501</v>
      </c>
      <c r="AV31">
        <v>1000</v>
      </c>
      <c r="AW31">
        <v>1001</v>
      </c>
      <c r="AX31">
        <v>99999</v>
      </c>
      <c r="AY31">
        <v>900</v>
      </c>
      <c r="AZ31">
        <v>120</v>
      </c>
      <c r="BA31">
        <v>140</v>
      </c>
      <c r="BB31">
        <v>145</v>
      </c>
      <c r="BC31">
        <v>160</v>
      </c>
      <c r="BD31">
        <v>180</v>
      </c>
      <c r="BE31">
        <v>185</v>
      </c>
      <c r="BF31">
        <v>188</v>
      </c>
      <c r="BG31"/>
      <c r="BH31"/>
      <c r="BI31"/>
      <c r="BJ31"/>
      <c r="BK31"/>
      <c r="BL31"/>
      <c r="BM31"/>
      <c r="BN31"/>
    </row>
    <row r="32" spans="1:66" x14ac:dyDescent="0.4">
      <c r="A32" s="4"/>
      <c r="B32" s="38" t="str">
        <f>B21</f>
        <v>家庭用</v>
      </c>
      <c r="C32" s="39">
        <f>IF(OR(計算表!$C$3="臨時用",計算表!$C$3="船舶用"),ROUNDDOWN(($C$4*VLOOKUP(B32,$Q$39:$AI$44,18,0)),0),ROUNDDOWN((IF($C$4="","",SUM($I$30,I33:I36))),0))</f>
        <v>949</v>
      </c>
      <c r="D32" s="39">
        <f>IF($D$31="下水道（有）",ROUNDDOWN((IF($C$4="","",SUM($N$30,$N$33:$N$39))),0),0)</f>
        <v>650</v>
      </c>
      <c r="E32" s="40">
        <f>SUM(C32:D32)</f>
        <v>1599</v>
      </c>
      <c r="F32" s="26">
        <f>VLOOKUP($B$32,$Q$39:$S$44,3,0)</f>
        <v>1</v>
      </c>
      <c r="G32" s="26">
        <f>VLOOKUP($B$32,$Q$39:$T$44,4,0)</f>
        <v>8</v>
      </c>
      <c r="H32" s="27" t="s">
        <v>29</v>
      </c>
      <c r="I32" s="27" t="s">
        <v>29</v>
      </c>
      <c r="J32" s="4"/>
      <c r="K32" s="26">
        <f>VLOOKUP($C$3,$Q$30:$AI$35,19,0)</f>
        <v>1</v>
      </c>
      <c r="L32" s="26">
        <f>VLOOKUP($C$3,$Q$30:$AJ$35,20,0)</f>
        <v>10</v>
      </c>
      <c r="M32" s="27" t="s">
        <v>43</v>
      </c>
      <c r="N32" s="27" t="s">
        <v>43</v>
      </c>
      <c r="O32" s="2"/>
      <c r="P32" s="49">
        <v>19</v>
      </c>
      <c r="Q32" t="s">
        <v>32</v>
      </c>
      <c r="R32" t="s">
        <v>8</v>
      </c>
      <c r="S32">
        <v>1</v>
      </c>
      <c r="T32">
        <v>10</v>
      </c>
      <c r="U32">
        <v>11</v>
      </c>
      <c r="V32">
        <v>100</v>
      </c>
      <c r="W32">
        <v>101</v>
      </c>
      <c r="X32">
        <v>300</v>
      </c>
      <c r="Y32">
        <v>301</v>
      </c>
      <c r="Z32">
        <v>500</v>
      </c>
      <c r="AA32">
        <v>501</v>
      </c>
      <c r="AB32">
        <v>99999</v>
      </c>
      <c r="AC32">
        <v>1908</v>
      </c>
      <c r="AD32">
        <v>260</v>
      </c>
      <c r="AE32">
        <v>287</v>
      </c>
      <c r="AF32">
        <v>308</v>
      </c>
      <c r="AG32">
        <v>341</v>
      </c>
      <c r="AH32"/>
      <c r="AI32">
        <v>1</v>
      </c>
      <c r="AJ32">
        <v>10</v>
      </c>
      <c r="AK32">
        <v>11</v>
      </c>
      <c r="AL32">
        <v>30</v>
      </c>
      <c r="AM32">
        <v>31</v>
      </c>
      <c r="AN32">
        <v>50</v>
      </c>
      <c r="AO32">
        <v>51</v>
      </c>
      <c r="AP32">
        <v>100</v>
      </c>
      <c r="AQ32">
        <v>101</v>
      </c>
      <c r="AR32">
        <v>300</v>
      </c>
      <c r="AS32">
        <v>301</v>
      </c>
      <c r="AT32">
        <v>500</v>
      </c>
      <c r="AU32">
        <v>501</v>
      </c>
      <c r="AV32">
        <v>1000</v>
      </c>
      <c r="AW32">
        <v>1001</v>
      </c>
      <c r="AX32">
        <v>99999</v>
      </c>
      <c r="AY32">
        <v>900</v>
      </c>
      <c r="AZ32">
        <v>120</v>
      </c>
      <c r="BA32">
        <v>140</v>
      </c>
      <c r="BB32">
        <v>145</v>
      </c>
      <c r="BC32">
        <v>160</v>
      </c>
      <c r="BD32">
        <v>180</v>
      </c>
      <c r="BE32">
        <v>185</v>
      </c>
      <c r="BF32">
        <v>188</v>
      </c>
      <c r="BG32"/>
      <c r="BH32"/>
      <c r="BI32"/>
      <c r="BJ32"/>
      <c r="BK32"/>
      <c r="BL32"/>
      <c r="BM32"/>
      <c r="BN32"/>
    </row>
    <row r="33" spans="1:66" x14ac:dyDescent="0.4">
      <c r="A33" s="4"/>
      <c r="B33" s="6" t="s">
        <v>24</v>
      </c>
      <c r="C33" s="28">
        <f>IF(C3="基地用",0,ROUNDDOWN(C32*0.1,0))</f>
        <v>94</v>
      </c>
      <c r="D33" s="28">
        <f>IF($B$32="基地用",0,ROUNDDOWN($D$32*0.1,0))</f>
        <v>65</v>
      </c>
      <c r="E33" s="28">
        <f>SUM(C33:D33)</f>
        <v>159</v>
      </c>
      <c r="F33" s="26">
        <f>VLOOKUP($B$32,$Q$39:$U$44,5,0)</f>
        <v>9</v>
      </c>
      <c r="G33" s="26">
        <f>VLOOKUP($B$32,$Q$39:$V$44,6,0)</f>
        <v>20</v>
      </c>
      <c r="H33" s="29">
        <f>VLOOKUP($B$32,$Q$39:$AD$45,14,0)</f>
        <v>209</v>
      </c>
      <c r="I33" s="29">
        <f>MAX((MIN(G33,C4)-F33+1)*H33,0)</f>
        <v>0</v>
      </c>
      <c r="J33" s="4"/>
      <c r="K33" s="26">
        <f>VLOOKUP($C$3,$Q$30:$AL$35,21,0)</f>
        <v>11</v>
      </c>
      <c r="L33" s="26">
        <f>VLOOKUP($C$3,$Q$30:$AL$35,22,0)</f>
        <v>30</v>
      </c>
      <c r="M33" s="29">
        <f>VLOOKUP($C$3,$Q$30:$AZ$35,36,0)</f>
        <v>95</v>
      </c>
      <c r="N33" s="29">
        <f t="shared" ref="N33:N38" si="2">MAX((MIN(L33,$C$4)-K33+1)*M33,0)</f>
        <v>0</v>
      </c>
      <c r="O33" s="2"/>
      <c r="P33" s="49">
        <v>20</v>
      </c>
      <c r="Q33" t="s">
        <v>33</v>
      </c>
      <c r="R33"/>
      <c r="S33"/>
      <c r="T33"/>
      <c r="U33"/>
      <c r="V33"/>
      <c r="W33"/>
      <c r="X33"/>
      <c r="Y33"/>
      <c r="Z33"/>
      <c r="AA33"/>
      <c r="AB33"/>
      <c r="AC33">
        <v>0</v>
      </c>
      <c r="AD33">
        <v>0</v>
      </c>
      <c r="AE33">
        <v>0</v>
      </c>
      <c r="AF33">
        <v>0</v>
      </c>
      <c r="AG33">
        <v>0</v>
      </c>
      <c r="AH33">
        <v>548</v>
      </c>
      <c r="AI33">
        <v>1</v>
      </c>
      <c r="AJ33">
        <v>10</v>
      </c>
      <c r="AK33">
        <v>11</v>
      </c>
      <c r="AL33">
        <v>30</v>
      </c>
      <c r="AM33">
        <v>31</v>
      </c>
      <c r="AN33">
        <v>50</v>
      </c>
      <c r="AO33">
        <v>51</v>
      </c>
      <c r="AP33">
        <v>100</v>
      </c>
      <c r="AQ33">
        <v>101</v>
      </c>
      <c r="AR33">
        <v>300</v>
      </c>
      <c r="AS33">
        <v>301</v>
      </c>
      <c r="AT33">
        <v>500</v>
      </c>
      <c r="AU33">
        <v>501</v>
      </c>
      <c r="AV33">
        <v>1000</v>
      </c>
      <c r="AW33">
        <v>1001</v>
      </c>
      <c r="AX33">
        <v>99999</v>
      </c>
      <c r="AY33">
        <v>900</v>
      </c>
      <c r="AZ33">
        <v>120</v>
      </c>
      <c r="BA33">
        <v>140</v>
      </c>
      <c r="BB33">
        <v>145</v>
      </c>
      <c r="BC33">
        <v>160</v>
      </c>
      <c r="BD33">
        <v>180</v>
      </c>
      <c r="BE33">
        <v>185</v>
      </c>
      <c r="BF33">
        <v>188</v>
      </c>
      <c r="BG33"/>
      <c r="BH33"/>
      <c r="BI33"/>
      <c r="BJ33"/>
      <c r="BK33"/>
      <c r="BL33"/>
      <c r="BM33"/>
      <c r="BN33"/>
    </row>
    <row r="34" spans="1:66" x14ac:dyDescent="0.4">
      <c r="A34" s="4"/>
      <c r="B34" s="31" t="s">
        <v>25</v>
      </c>
      <c r="C34" s="32">
        <f>SUM(C32:C33)</f>
        <v>1043</v>
      </c>
      <c r="D34" s="32">
        <f>SUM(D32:D33)</f>
        <v>715</v>
      </c>
      <c r="E34" s="32">
        <f>SUM(E32:E33)</f>
        <v>1758</v>
      </c>
      <c r="F34" s="26">
        <f>VLOOKUP($B$32,$Q$39:$W$44,7,0)</f>
        <v>21</v>
      </c>
      <c r="G34" s="26">
        <f>VLOOKUP($B$32,$Q$39:$X$44,8,0)</f>
        <v>100</v>
      </c>
      <c r="H34" s="29">
        <f>VLOOKUP($B$32,$Q$39:$AE$44,15,0)</f>
        <v>232</v>
      </c>
      <c r="I34" s="29">
        <f>MAX((MIN(G34,C4)-F34+1)*H34,0)</f>
        <v>0</v>
      </c>
      <c r="J34" s="4"/>
      <c r="K34" s="26">
        <f>VLOOKUP($C$3,$Q$30:$AM$35,23,0)</f>
        <v>31</v>
      </c>
      <c r="L34" s="26">
        <f>VLOOKUP($C$3,$Q$30:$AN$35,24,0)</f>
        <v>50</v>
      </c>
      <c r="M34" s="29">
        <f>VLOOKUP($C$3,$Q$30:$BB$36,37,0)</f>
        <v>110</v>
      </c>
      <c r="N34" s="29">
        <f t="shared" si="2"/>
        <v>0</v>
      </c>
      <c r="O34" s="2"/>
      <c r="P34" s="49">
        <v>21</v>
      </c>
      <c r="Q34" t="s">
        <v>6</v>
      </c>
      <c r="R34" t="s">
        <v>8</v>
      </c>
      <c r="S34">
        <v>1</v>
      </c>
      <c r="T34">
        <v>10</v>
      </c>
      <c r="U34">
        <v>11</v>
      </c>
      <c r="V34">
        <v>100</v>
      </c>
      <c r="W34">
        <v>101</v>
      </c>
      <c r="X34">
        <v>300</v>
      </c>
      <c r="Y34">
        <v>301</v>
      </c>
      <c r="Z34">
        <v>500</v>
      </c>
      <c r="AA34">
        <v>501</v>
      </c>
      <c r="AB34">
        <v>99999</v>
      </c>
      <c r="AC34">
        <v>1965</v>
      </c>
      <c r="AD34">
        <v>267</v>
      </c>
      <c r="AE34">
        <v>295</v>
      </c>
      <c r="AF34">
        <v>318</v>
      </c>
      <c r="AG34">
        <v>351</v>
      </c>
      <c r="AH34"/>
      <c r="AI34">
        <v>1</v>
      </c>
      <c r="AJ34">
        <v>10</v>
      </c>
      <c r="AK34">
        <v>11</v>
      </c>
      <c r="AL34">
        <v>30</v>
      </c>
      <c r="AM34">
        <v>31</v>
      </c>
      <c r="AN34">
        <v>50</v>
      </c>
      <c r="AO34">
        <v>51</v>
      </c>
      <c r="AP34">
        <v>100</v>
      </c>
      <c r="AQ34">
        <v>101</v>
      </c>
      <c r="AR34">
        <v>300</v>
      </c>
      <c r="AS34">
        <v>301</v>
      </c>
      <c r="AT34">
        <v>500</v>
      </c>
      <c r="AU34">
        <v>501</v>
      </c>
      <c r="AV34">
        <v>1000</v>
      </c>
      <c r="AW34">
        <v>1001</v>
      </c>
      <c r="AX34">
        <v>99999</v>
      </c>
      <c r="AY34">
        <v>900</v>
      </c>
      <c r="AZ34">
        <v>120</v>
      </c>
      <c r="BA34">
        <v>140</v>
      </c>
      <c r="BB34">
        <v>145</v>
      </c>
      <c r="BC34">
        <v>160</v>
      </c>
      <c r="BD34">
        <v>180</v>
      </c>
      <c r="BE34">
        <v>185</v>
      </c>
      <c r="BF34">
        <v>188</v>
      </c>
      <c r="BG34"/>
      <c r="BH34"/>
      <c r="BI34"/>
      <c r="BJ34"/>
      <c r="BK34"/>
      <c r="BL34"/>
      <c r="BM34"/>
      <c r="BN34"/>
    </row>
    <row r="35" spans="1:66" x14ac:dyDescent="0.4">
      <c r="A35" s="4"/>
      <c r="B35" s="69" t="s">
        <v>52</v>
      </c>
      <c r="C35" s="70"/>
      <c r="D35" s="70"/>
      <c r="E35" s="70"/>
      <c r="F35" s="26">
        <f>VLOOKUP($B$32,$Q$39:$Y$44,9,0)</f>
        <v>101</v>
      </c>
      <c r="G35" s="26">
        <f>VLOOKUP($B$32,$Q$39:$Z$44,10,0)</f>
        <v>300</v>
      </c>
      <c r="H35" s="29">
        <f>VLOOKUP($B$32,$Q$39:$AF$44,16,0)</f>
        <v>266</v>
      </c>
      <c r="I35" s="29">
        <f>MAX((MIN(G35,C4)-F35+1)*H35,0)</f>
        <v>0</v>
      </c>
      <c r="J35" s="4"/>
      <c r="K35" s="26">
        <f>VLOOKUP($C$3,$Q$30:$AO$35,25,0)</f>
        <v>51</v>
      </c>
      <c r="L35" s="26">
        <f>VLOOKUP($C$3,$Q$30:$AP$35,26,0)</f>
        <v>100</v>
      </c>
      <c r="M35" s="29">
        <f>VLOOKUP($C$3,$Q$30:$BB$35,38,0)</f>
        <v>130</v>
      </c>
      <c r="N35" s="29">
        <f t="shared" si="2"/>
        <v>0</v>
      </c>
      <c r="O35" s="2"/>
      <c r="P35" s="49">
        <v>22</v>
      </c>
      <c r="Q35" t="s">
        <v>34</v>
      </c>
      <c r="R35"/>
      <c r="S35"/>
      <c r="T35"/>
      <c r="U35"/>
      <c r="V35"/>
      <c r="W35"/>
      <c r="X35"/>
      <c r="Y35"/>
      <c r="Z35"/>
      <c r="AA35"/>
      <c r="AB35"/>
      <c r="AC35">
        <v>0</v>
      </c>
      <c r="AD35">
        <v>0</v>
      </c>
      <c r="AE35">
        <v>0</v>
      </c>
      <c r="AF35">
        <v>0</v>
      </c>
      <c r="AG35">
        <v>0</v>
      </c>
      <c r="AH35">
        <v>380</v>
      </c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 t="s">
        <v>22</v>
      </c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x14ac:dyDescent="0.4">
      <c r="A36" s="4"/>
      <c r="B36" s="56" t="s">
        <v>3</v>
      </c>
      <c r="C36" s="56" t="s">
        <v>4</v>
      </c>
      <c r="D36" s="56" t="str">
        <f>$D$20</f>
        <v>下水道（有）</v>
      </c>
      <c r="E36" s="56" t="s">
        <v>12</v>
      </c>
      <c r="F36" s="47">
        <f>VLOOKUP($B$32,Q39:AA44,11,0)</f>
        <v>301</v>
      </c>
      <c r="G36" s="47">
        <f>VLOOKUP($B$32,$Q$39:$AB$44,12,0)</f>
        <v>99999</v>
      </c>
      <c r="H36" s="48">
        <f>VLOOKUP($B$32,$Q$39:$AG$44,17,0)</f>
        <v>292</v>
      </c>
      <c r="I36" s="48">
        <f>MAX((MIN(G36,C4)-F36+1)*H36,0)</f>
        <v>0</v>
      </c>
      <c r="J36" s="16"/>
      <c r="K36" s="47">
        <f>VLOOKUP($C$3,$Q$30:$AQ$36,27,0)</f>
        <v>101</v>
      </c>
      <c r="L36" s="47">
        <f>VLOOKUP($C$3,$Q$30:$AR$36,28,0)</f>
        <v>300</v>
      </c>
      <c r="M36" s="48">
        <f>VLOOKUP($C$3,$Q$30:$BC$35,39,0)</f>
        <v>155</v>
      </c>
      <c r="N36" s="48">
        <f t="shared" si="2"/>
        <v>0</v>
      </c>
      <c r="O36" s="2"/>
      <c r="P36" s="49">
        <v>23</v>
      </c>
      <c r="Q36">
        <v>1</v>
      </c>
      <c r="R36">
        <v>2</v>
      </c>
      <c r="S36">
        <v>3</v>
      </c>
      <c r="T36">
        <v>4</v>
      </c>
      <c r="U36">
        <v>5</v>
      </c>
      <c r="V36">
        <v>6</v>
      </c>
      <c r="W36">
        <v>7</v>
      </c>
      <c r="X36">
        <v>8</v>
      </c>
      <c r="Y36">
        <v>9</v>
      </c>
      <c r="Z36">
        <v>10</v>
      </c>
      <c r="AA36">
        <v>11</v>
      </c>
      <c r="AB36">
        <v>12</v>
      </c>
      <c r="AC36">
        <v>13</v>
      </c>
      <c r="AD36">
        <v>14</v>
      </c>
      <c r="AE36">
        <v>15</v>
      </c>
      <c r="AF36">
        <v>16</v>
      </c>
      <c r="AG36">
        <v>17</v>
      </c>
      <c r="AH36">
        <v>18</v>
      </c>
      <c r="AI36">
        <v>19</v>
      </c>
      <c r="AJ36">
        <v>20</v>
      </c>
      <c r="AK36">
        <v>21</v>
      </c>
      <c r="AL36">
        <v>22</v>
      </c>
      <c r="AM36">
        <v>23</v>
      </c>
      <c r="AN36">
        <v>24</v>
      </c>
      <c r="AO36">
        <v>25</v>
      </c>
      <c r="AP36">
        <v>26</v>
      </c>
      <c r="AQ36">
        <v>27</v>
      </c>
      <c r="AR36">
        <v>28</v>
      </c>
      <c r="AS36">
        <v>29</v>
      </c>
      <c r="AT36">
        <v>30</v>
      </c>
      <c r="AU36">
        <v>31</v>
      </c>
      <c r="AV36">
        <v>32</v>
      </c>
      <c r="AW36">
        <v>33</v>
      </c>
      <c r="AX36">
        <v>34</v>
      </c>
      <c r="AY36">
        <v>35</v>
      </c>
      <c r="AZ36">
        <v>36</v>
      </c>
      <c r="BA36">
        <v>37</v>
      </c>
      <c r="BB36">
        <v>38</v>
      </c>
      <c r="BC36">
        <v>39</v>
      </c>
      <c r="BD36">
        <v>40</v>
      </c>
      <c r="BE36">
        <v>41</v>
      </c>
      <c r="BF36">
        <v>42</v>
      </c>
      <c r="BG36"/>
      <c r="BH36"/>
      <c r="BI36"/>
      <c r="BJ36"/>
      <c r="BK36"/>
      <c r="BL36"/>
      <c r="BM36"/>
      <c r="BN36"/>
    </row>
    <row r="37" spans="1:66" x14ac:dyDescent="0.4">
      <c r="A37" s="4"/>
      <c r="B37" s="54" t="str">
        <f>B21</f>
        <v>家庭用</v>
      </c>
      <c r="C37" s="55">
        <f>C34-C23</f>
        <v>-116</v>
      </c>
      <c r="D37" s="55">
        <f t="shared" ref="D37:E37" si="3">D34-D23</f>
        <v>0</v>
      </c>
      <c r="E37" s="55">
        <f t="shared" si="3"/>
        <v>-116</v>
      </c>
      <c r="F37" s="60" t="str">
        <f>IF(B32="船舶用","※1m3につき　387円",IF(B32="臨時用","※1m3につき 559円（税抜）",""))</f>
        <v/>
      </c>
      <c r="G37" s="52"/>
      <c r="H37" s="53"/>
      <c r="I37" s="53"/>
      <c r="J37" s="16"/>
      <c r="K37" s="26">
        <f>VLOOKUP($C$3,$Q$30:$AS$35,29,0)</f>
        <v>301</v>
      </c>
      <c r="L37" s="26">
        <f>VLOOKUP($C$3,$Q$30:$AT$35,30,0)</f>
        <v>99999</v>
      </c>
      <c r="M37" s="29">
        <f>IF(K37=0,0,VLOOKUP($C$3,$Q$30:$BD$35,40,0))</f>
        <v>175</v>
      </c>
      <c r="N37" s="29">
        <f t="shared" si="2"/>
        <v>0</v>
      </c>
      <c r="O37" s="2"/>
      <c r="P37" s="49">
        <v>24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x14ac:dyDescent="0.4">
      <c r="A38" s="2"/>
      <c r="B38" s="50"/>
      <c r="C38" s="2"/>
      <c r="D38" s="2"/>
      <c r="E38" s="2"/>
      <c r="F38" s="4"/>
      <c r="G38" s="4"/>
      <c r="H38" s="4"/>
      <c r="I38" s="4"/>
      <c r="J38" s="16"/>
      <c r="K38" s="26">
        <f>VLOOKUP($C$3,$Q$30:$AU$35,31,0)</f>
        <v>0</v>
      </c>
      <c r="L38" s="26">
        <f>VLOOKUP($C$3,$Q$30:$AV$35,32,0)</f>
        <v>0</v>
      </c>
      <c r="M38" s="29">
        <f>IF(K38=0,0,VLOOKUP($C$3,$Q$30:$BE$35,41,0))</f>
        <v>0</v>
      </c>
      <c r="N38" s="29">
        <f t="shared" si="2"/>
        <v>0</v>
      </c>
      <c r="O38" s="2"/>
      <c r="P38" s="49">
        <v>25</v>
      </c>
      <c r="Q38" t="s">
        <v>20</v>
      </c>
      <c r="R38"/>
      <c r="S38"/>
      <c r="T38"/>
      <c r="U38"/>
      <c r="V38"/>
      <c r="W38"/>
      <c r="X38"/>
      <c r="Y38"/>
      <c r="Z38"/>
      <c r="AA38"/>
      <c r="AB38"/>
      <c r="AC38" t="s">
        <v>5</v>
      </c>
      <c r="AD38"/>
      <c r="AE38"/>
      <c r="AF38"/>
      <c r="AG38"/>
      <c r="AH38"/>
      <c r="AI38" t="s">
        <v>44</v>
      </c>
      <c r="AJ38" t="s">
        <v>45</v>
      </c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</row>
    <row r="39" spans="1:66" x14ac:dyDescent="0.4">
      <c r="A39" s="2"/>
      <c r="B39" s="2"/>
      <c r="C39" s="2"/>
      <c r="D39" s="2"/>
      <c r="E39" s="2"/>
      <c r="F39" s="4"/>
      <c r="G39" s="4"/>
      <c r="H39" s="4"/>
      <c r="I39" s="4"/>
      <c r="J39" s="4"/>
      <c r="K39" s="26">
        <f>VLOOKUP($C$3,$Q$30:$AW$35,33,0)</f>
        <v>0</v>
      </c>
      <c r="L39" s="26">
        <f>VLOOKUP($C$3,$Q$30:$AX$35,34,0)</f>
        <v>0</v>
      </c>
      <c r="M39" s="29">
        <f>IF(K39=0,0,VLOOKUP($C$3,$Q$30:$BF$35,42,0))</f>
        <v>0</v>
      </c>
      <c r="N39" s="29">
        <f>MAX((MIN(L39,$C$4)-K39+1)*M39,0)</f>
        <v>0</v>
      </c>
      <c r="O39" s="2"/>
      <c r="P39" s="49">
        <v>26</v>
      </c>
      <c r="Q39" t="s">
        <v>35</v>
      </c>
      <c r="R39" t="s">
        <v>7</v>
      </c>
      <c r="S39">
        <v>1</v>
      </c>
      <c r="T39">
        <v>8</v>
      </c>
      <c r="U39">
        <v>9</v>
      </c>
      <c r="V39">
        <v>20</v>
      </c>
      <c r="W39">
        <v>21</v>
      </c>
      <c r="X39">
        <v>100</v>
      </c>
      <c r="Y39">
        <v>101</v>
      </c>
      <c r="Z39">
        <v>300</v>
      </c>
      <c r="AA39">
        <v>301</v>
      </c>
      <c r="AB39">
        <v>99999</v>
      </c>
      <c r="AC39">
        <v>1074</v>
      </c>
      <c r="AD39">
        <v>209</v>
      </c>
      <c r="AE39">
        <v>232</v>
      </c>
      <c r="AF39">
        <v>266</v>
      </c>
      <c r="AG39">
        <v>292</v>
      </c>
      <c r="AH39"/>
      <c r="AI39" s="1">
        <f>1074-125</f>
        <v>949</v>
      </c>
      <c r="AJ39">
        <f>AI39-AC30</f>
        <v>-105</v>
      </c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x14ac:dyDescent="0.4">
      <c r="A40" s="2"/>
      <c r="B40" s="2"/>
      <c r="C40" s="2"/>
      <c r="D40" s="2"/>
      <c r="E40" s="2"/>
      <c r="F40" s="4"/>
      <c r="G40" s="4"/>
      <c r="H40" s="4"/>
      <c r="I40" s="4"/>
      <c r="J40" s="4"/>
      <c r="K40" s="41"/>
      <c r="L40" s="41"/>
      <c r="M40" s="42"/>
      <c r="N40" s="42"/>
      <c r="O40" s="2"/>
      <c r="P40" s="49">
        <v>27</v>
      </c>
      <c r="Q40" t="s">
        <v>31</v>
      </c>
      <c r="R40" t="s">
        <v>8</v>
      </c>
      <c r="S40">
        <v>1</v>
      </c>
      <c r="T40">
        <v>10</v>
      </c>
      <c r="U40">
        <v>11</v>
      </c>
      <c r="V40">
        <v>30</v>
      </c>
      <c r="W40">
        <v>31</v>
      </c>
      <c r="X40">
        <v>100</v>
      </c>
      <c r="Y40">
        <v>101</v>
      </c>
      <c r="Z40">
        <v>300</v>
      </c>
      <c r="AA40">
        <v>301</v>
      </c>
      <c r="AB40">
        <v>99999</v>
      </c>
      <c r="AC40">
        <v>1720</v>
      </c>
      <c r="AD40">
        <v>232</v>
      </c>
      <c r="AE40">
        <v>266</v>
      </c>
      <c r="AF40">
        <v>292</v>
      </c>
      <c r="AG40">
        <v>314</v>
      </c>
      <c r="AH40"/>
      <c r="AI40" s="1">
        <f>1720-125</f>
        <v>1595</v>
      </c>
      <c r="AJ40">
        <f>AI40-AC31</f>
        <v>-92</v>
      </c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x14ac:dyDescent="0.4">
      <c r="A41" s="2"/>
      <c r="B41" s="2"/>
      <c r="C41" s="2"/>
      <c r="D41" s="2"/>
      <c r="E41" s="2"/>
      <c r="F41" s="4"/>
      <c r="G41" s="4"/>
      <c r="H41" s="4"/>
      <c r="I41" s="4"/>
      <c r="J41" s="4"/>
      <c r="K41" s="17"/>
      <c r="L41" s="17"/>
      <c r="M41" s="17"/>
      <c r="N41" s="17"/>
      <c r="O41" s="2"/>
      <c r="P41" s="49">
        <v>28</v>
      </c>
      <c r="Q41" t="s">
        <v>32</v>
      </c>
      <c r="R41" t="s">
        <v>8</v>
      </c>
      <c r="S41">
        <v>1</v>
      </c>
      <c r="T41">
        <v>10</v>
      </c>
      <c r="U41">
        <v>11</v>
      </c>
      <c r="V41">
        <v>100</v>
      </c>
      <c r="W41">
        <v>101</v>
      </c>
      <c r="X41">
        <v>300</v>
      </c>
      <c r="Y41">
        <v>301</v>
      </c>
      <c r="Z41">
        <v>500</v>
      </c>
      <c r="AA41">
        <v>501</v>
      </c>
      <c r="AB41">
        <v>99999</v>
      </c>
      <c r="AC41">
        <v>1945</v>
      </c>
      <c r="AD41">
        <v>266</v>
      </c>
      <c r="AE41">
        <v>292</v>
      </c>
      <c r="AF41">
        <v>314</v>
      </c>
      <c r="AG41">
        <v>347</v>
      </c>
      <c r="AH41"/>
      <c r="AI41" s="1">
        <f>1945-125</f>
        <v>1820</v>
      </c>
      <c r="AJ41">
        <f t="shared" ref="AJ41:AJ44" si="4">AI41-AC32</f>
        <v>-88</v>
      </c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x14ac:dyDescent="0.4">
      <c r="A42" s="2"/>
      <c r="B42" s="2"/>
      <c r="C42" s="2"/>
      <c r="D42" s="2"/>
      <c r="E42" s="2"/>
      <c r="F42" s="4"/>
      <c r="G42" s="4"/>
      <c r="H42" s="4"/>
      <c r="I42" s="4"/>
      <c r="J42" s="17"/>
      <c r="K42" s="4"/>
      <c r="L42" s="4"/>
      <c r="M42" s="4"/>
      <c r="N42" s="4"/>
      <c r="O42" s="2"/>
      <c r="P42" s="49">
        <v>29</v>
      </c>
      <c r="Q42" t="s">
        <v>33</v>
      </c>
      <c r="R42"/>
      <c r="S42"/>
      <c r="T42"/>
      <c r="U42"/>
      <c r="V42"/>
      <c r="W42"/>
      <c r="X42"/>
      <c r="Y42"/>
      <c r="Z42"/>
      <c r="AA42"/>
      <c r="AB42"/>
      <c r="AC42">
        <v>0</v>
      </c>
      <c r="AD42">
        <v>0</v>
      </c>
      <c r="AE42">
        <v>0</v>
      </c>
      <c r="AF42">
        <v>0</v>
      </c>
      <c r="AG42">
        <v>0</v>
      </c>
      <c r="AH42">
        <v>559</v>
      </c>
      <c r="AI42" s="1">
        <v>0</v>
      </c>
      <c r="AJ42">
        <f t="shared" si="4"/>
        <v>0</v>
      </c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x14ac:dyDescent="0.4">
      <c r="I43" s="51"/>
      <c r="J43" s="51"/>
      <c r="K43" s="51"/>
      <c r="L43" s="51"/>
      <c r="M43" s="51"/>
      <c r="N43" s="51"/>
      <c r="O43" s="49"/>
      <c r="P43" s="49">
        <v>30</v>
      </c>
      <c r="Q43" t="s">
        <v>6</v>
      </c>
      <c r="R43" t="s">
        <v>8</v>
      </c>
      <c r="S43">
        <v>1</v>
      </c>
      <c r="T43">
        <v>10</v>
      </c>
      <c r="U43">
        <v>11</v>
      </c>
      <c r="V43">
        <v>100</v>
      </c>
      <c r="W43">
        <v>101</v>
      </c>
      <c r="X43">
        <v>300</v>
      </c>
      <c r="Y43">
        <v>301</v>
      </c>
      <c r="Z43">
        <v>500</v>
      </c>
      <c r="AA43">
        <v>501</v>
      </c>
      <c r="AB43">
        <v>99999</v>
      </c>
      <c r="AC43">
        <v>2002</v>
      </c>
      <c r="AD43">
        <v>272</v>
      </c>
      <c r="AE43">
        <v>301</v>
      </c>
      <c r="AF43">
        <v>324</v>
      </c>
      <c r="AG43">
        <v>358</v>
      </c>
      <c r="AH43"/>
      <c r="AI43" s="1">
        <f>2002-125</f>
        <v>1877</v>
      </c>
      <c r="AJ43">
        <f t="shared" si="4"/>
        <v>-88</v>
      </c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x14ac:dyDescent="0.4">
      <c r="I44" s="51"/>
      <c r="J44" s="51"/>
      <c r="K44" s="51"/>
      <c r="L44" s="51"/>
      <c r="M44" s="51"/>
      <c r="N44" s="51"/>
      <c r="O44" s="49"/>
      <c r="P44" s="49">
        <v>31</v>
      </c>
      <c r="Q44" t="s">
        <v>34</v>
      </c>
      <c r="R44"/>
      <c r="S44"/>
      <c r="T44"/>
      <c r="U44"/>
      <c r="V44"/>
      <c r="W44"/>
      <c r="X44"/>
      <c r="Y44"/>
      <c r="Z44"/>
      <c r="AA44"/>
      <c r="AB44"/>
      <c r="AC44">
        <v>0</v>
      </c>
      <c r="AD44">
        <v>0</v>
      </c>
      <c r="AE44">
        <v>0</v>
      </c>
      <c r="AF44">
        <v>0</v>
      </c>
      <c r="AG44">
        <v>0</v>
      </c>
      <c r="AH44">
        <v>387</v>
      </c>
      <c r="AI44" s="1">
        <v>0</v>
      </c>
      <c r="AJ44">
        <f t="shared" si="4"/>
        <v>0</v>
      </c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</row>
    <row r="45" spans="1:66" x14ac:dyDescent="0.4">
      <c r="I45" s="51"/>
      <c r="J45" s="51"/>
      <c r="K45" s="51"/>
      <c r="L45" s="51"/>
      <c r="M45" s="51"/>
      <c r="N45" s="51"/>
      <c r="O45" s="49"/>
      <c r="P45" s="49">
        <v>32</v>
      </c>
      <c r="Q45">
        <v>1</v>
      </c>
      <c r="R45">
        <v>2</v>
      </c>
      <c r="S45">
        <v>3</v>
      </c>
      <c r="T45">
        <v>4</v>
      </c>
      <c r="U45">
        <v>5</v>
      </c>
      <c r="V45">
        <v>6</v>
      </c>
      <c r="W45">
        <v>7</v>
      </c>
      <c r="X45">
        <v>8</v>
      </c>
      <c r="Y45">
        <v>9</v>
      </c>
      <c r="Z45">
        <v>10</v>
      </c>
      <c r="AA45">
        <v>11</v>
      </c>
      <c r="AB45">
        <v>12</v>
      </c>
      <c r="AC45">
        <v>13</v>
      </c>
      <c r="AD45">
        <v>14</v>
      </c>
      <c r="AE45">
        <v>15</v>
      </c>
      <c r="AF45">
        <v>16</v>
      </c>
      <c r="AG45">
        <v>17</v>
      </c>
      <c r="AH45">
        <v>18</v>
      </c>
      <c r="AI45">
        <v>19</v>
      </c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</row>
    <row r="46" spans="1:66" x14ac:dyDescent="0.4">
      <c r="I46" s="51"/>
      <c r="J46" s="51"/>
      <c r="K46" s="51"/>
      <c r="L46" s="51"/>
      <c r="M46" s="51"/>
      <c r="N46" s="51"/>
      <c r="O46" s="49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</row>
    <row r="47" spans="1:66" x14ac:dyDescent="0.4">
      <c r="Q47" t="s">
        <v>35</v>
      </c>
      <c r="R47" t="s">
        <v>47</v>
      </c>
      <c r="S47" s="58" t="s">
        <v>54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1:66" x14ac:dyDescent="0.4">
      <c r="Q48" t="s">
        <v>31</v>
      </c>
      <c r="R48" t="s">
        <v>48</v>
      </c>
      <c r="S48">
        <v>1720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</row>
    <row r="49" spans="17:66" x14ac:dyDescent="0.4">
      <c r="Q49" t="s">
        <v>46</v>
      </c>
      <c r="R49" t="s">
        <v>49</v>
      </c>
      <c r="S49">
        <v>1945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7:66" x14ac:dyDescent="0.4">
      <c r="Q50" s="5" t="s">
        <v>53</v>
      </c>
      <c r="S50" s="5">
        <v>2002</v>
      </c>
    </row>
    <row r="51" spans="17:66" x14ac:dyDescent="0.4">
      <c r="Q51" s="5" t="s">
        <v>55</v>
      </c>
      <c r="S51" s="5" t="s">
        <v>57</v>
      </c>
    </row>
    <row r="52" spans="17:66" x14ac:dyDescent="0.4">
      <c r="Q52" s="5" t="s">
        <v>56</v>
      </c>
      <c r="S52" s="5" t="s">
        <v>57</v>
      </c>
    </row>
  </sheetData>
  <sheetProtection algorithmName="SHA-512" hashValue="dipIykW51+GlLyV5+RJDEYIZydizSpWvJJXzFkF/A5TdZD2pL8FAv/PhYfv3JoXpyUdVhOB0VgaGVN94pfrrxA==" saltValue="eBAX/6VMWpdsjFTU5/xQkg==" spinCount="100000" sheet="1" objects="1" scenarios="1"/>
  <mergeCells count="22">
    <mergeCell ref="B35:E35"/>
    <mergeCell ref="B28:E28"/>
    <mergeCell ref="K7:M8"/>
    <mergeCell ref="B8:E8"/>
    <mergeCell ref="F29:H30"/>
    <mergeCell ref="K18:M19"/>
    <mergeCell ref="K29:M30"/>
    <mergeCell ref="F18:H19"/>
    <mergeCell ref="B18:E18"/>
    <mergeCell ref="B19:E19"/>
    <mergeCell ref="B24:E24"/>
    <mergeCell ref="I26:I27"/>
    <mergeCell ref="B29:E29"/>
    <mergeCell ref="B30:E30"/>
    <mergeCell ref="F15:I15"/>
    <mergeCell ref="F7:H8"/>
    <mergeCell ref="B27:E27"/>
    <mergeCell ref="D3:G3"/>
    <mergeCell ref="D4:G4"/>
    <mergeCell ref="D5:G5"/>
    <mergeCell ref="B2:G2"/>
    <mergeCell ref="B7:E7"/>
  </mergeCells>
  <phoneticPr fontId="1"/>
  <conditionalFormatting sqref="B35:E35">
    <cfRule type="expression" priority="11">
      <formula>$B$35:$E$37=""</formula>
    </cfRule>
  </conditionalFormatting>
  <conditionalFormatting sqref="E37">
    <cfRule type="containsBlanks" dxfId="0" priority="10">
      <formula>LEN(TRIM(E37))=0</formula>
    </cfRule>
  </conditionalFormatting>
  <dataValidations count="2">
    <dataValidation type="list" allowBlank="1" showInputMessage="1" showErrorMessage="1" sqref="C3">
      <formula1>"家庭用,営業用,官公署用,基地用,船舶用,臨時用"</formula1>
    </dataValidation>
    <dataValidation type="list" allowBlank="1" showInputMessage="1" showErrorMessage="1" sqref="C5:C6">
      <formula1>"下水道（有）,下水道（無）"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末吉　直美</dc:creator>
  <cp:lastModifiedBy>末吉　直美</cp:lastModifiedBy>
  <dcterms:created xsi:type="dcterms:W3CDTF">2024-12-09T07:16:38Z</dcterms:created>
  <dcterms:modified xsi:type="dcterms:W3CDTF">2025-04-11T06:39:36Z</dcterms:modified>
</cp:coreProperties>
</file>