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水道営業課\02_水道調定係\01_令和８年度水道料金早見表\"/>
    </mc:Choice>
  </mc:AlternateContent>
  <bookViews>
    <workbookView xWindow="-120" yWindow="-120" windowWidth="29040" windowHeight="15840"/>
  </bookViews>
  <sheets>
    <sheet name="計算表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7" i="1" l="1"/>
  <c r="M46" i="1"/>
  <c r="M45" i="1"/>
  <c r="M44" i="1"/>
  <c r="L50" i="1"/>
  <c r="L49" i="1"/>
  <c r="L48" i="1"/>
  <c r="L47" i="1"/>
  <c r="L46" i="1"/>
  <c r="L45" i="1"/>
  <c r="L44" i="1"/>
  <c r="L43" i="1"/>
  <c r="K50" i="1"/>
  <c r="M50" i="1" s="1"/>
  <c r="K49" i="1"/>
  <c r="M49" i="1" s="1"/>
  <c r="K48" i="1"/>
  <c r="M48" i="1" s="1"/>
  <c r="K47" i="1"/>
  <c r="K46" i="1"/>
  <c r="K45" i="1"/>
  <c r="K44" i="1"/>
  <c r="K43" i="1"/>
  <c r="K32" i="1"/>
  <c r="AJ45" i="1"/>
  <c r="AJ44" i="1"/>
  <c r="AJ43" i="1"/>
  <c r="AJ42" i="1"/>
  <c r="AJ41" i="1"/>
  <c r="AJ40" i="1"/>
  <c r="I31" i="1"/>
  <c r="M25" i="1"/>
  <c r="M24" i="1"/>
  <c r="M23" i="1"/>
  <c r="M22" i="1"/>
  <c r="L28" i="1"/>
  <c r="L27" i="1"/>
  <c r="L26" i="1"/>
  <c r="L25" i="1"/>
  <c r="L24" i="1"/>
  <c r="L23" i="1"/>
  <c r="L22" i="1"/>
  <c r="L21" i="1"/>
  <c r="K28" i="1"/>
  <c r="M28" i="1" s="1"/>
  <c r="K27" i="1"/>
  <c r="M27" i="1" s="1"/>
  <c r="K26" i="1"/>
  <c r="M26" i="1" s="1"/>
  <c r="K25" i="1"/>
  <c r="K24" i="1"/>
  <c r="K23" i="1"/>
  <c r="K22" i="1"/>
  <c r="K21" i="1"/>
  <c r="L39" i="1"/>
  <c r="L38" i="1"/>
  <c r="L37" i="1"/>
  <c r="L36" i="1"/>
  <c r="L35" i="1"/>
  <c r="L34" i="1"/>
  <c r="L33" i="1"/>
  <c r="L32" i="1"/>
  <c r="K39" i="1"/>
  <c r="M39" i="1" s="1"/>
  <c r="K38" i="1"/>
  <c r="M38" i="1" s="1"/>
  <c r="K37" i="1"/>
  <c r="M37" i="1" s="1"/>
  <c r="K36" i="1"/>
  <c r="K35" i="1"/>
  <c r="K34" i="1"/>
  <c r="K33" i="1"/>
  <c r="M36" i="1"/>
  <c r="M35" i="1"/>
  <c r="M34" i="1"/>
  <c r="M33" i="1"/>
  <c r="N34" i="1" l="1"/>
  <c r="N33" i="1"/>
  <c r="M14" i="1"/>
  <c r="M13" i="1"/>
  <c r="M12" i="1"/>
  <c r="M11" i="1"/>
  <c r="L17" i="1"/>
  <c r="L16" i="1"/>
  <c r="L15" i="1"/>
  <c r="L14" i="1"/>
  <c r="L13" i="1"/>
  <c r="L12" i="1"/>
  <c r="L11" i="1"/>
  <c r="L10" i="1"/>
  <c r="K17" i="1"/>
  <c r="M17" i="1" s="1"/>
  <c r="K16" i="1"/>
  <c r="M16" i="1" s="1"/>
  <c r="K15" i="1"/>
  <c r="M15" i="1" s="1"/>
  <c r="K14" i="1"/>
  <c r="K13" i="1"/>
  <c r="K12" i="1"/>
  <c r="K11" i="1"/>
  <c r="K10" i="1"/>
  <c r="AI31" i="1"/>
  <c r="AJ31" i="1" s="1"/>
  <c r="I29" i="1"/>
  <c r="N23" i="1" l="1"/>
  <c r="N37" i="1"/>
  <c r="N36" i="1"/>
  <c r="N25" i="1"/>
  <c r="N24" i="1"/>
  <c r="N22" i="1"/>
  <c r="N35" i="1"/>
  <c r="N26" i="1"/>
  <c r="N27" i="1"/>
  <c r="N28" i="1"/>
  <c r="N38" i="1"/>
  <c r="N39" i="1"/>
  <c r="N12" i="1"/>
  <c r="N11" i="1"/>
  <c r="N13" i="1"/>
  <c r="N15" i="1"/>
  <c r="N48" i="1"/>
  <c r="N44" i="1"/>
  <c r="N46" i="1"/>
  <c r="N47" i="1"/>
  <c r="N45" i="1"/>
  <c r="N50" i="1"/>
  <c r="N49" i="1"/>
  <c r="B31" i="1"/>
  <c r="AJ34" i="1" l="1"/>
  <c r="AI33" i="1"/>
  <c r="AJ33" i="1" s="1"/>
  <c r="AJ32" i="1"/>
  <c r="AI30" i="1"/>
  <c r="AJ30" i="1" s="1"/>
  <c r="AI29" i="1"/>
  <c r="AJ29" i="1" s="1"/>
  <c r="B21" i="1" l="1"/>
  <c r="B10" i="1"/>
  <c r="H50" i="1" l="1"/>
  <c r="H49" i="1"/>
  <c r="H48" i="1"/>
  <c r="H47" i="1"/>
  <c r="I44" i="1"/>
  <c r="B35" i="1"/>
  <c r="N30" i="1"/>
  <c r="G50" i="1"/>
  <c r="F38" i="1"/>
  <c r="G49" i="1"/>
  <c r="F37" i="1"/>
  <c r="G48" i="1"/>
  <c r="F36" i="1"/>
  <c r="F35" i="1"/>
  <c r="G47" i="1"/>
  <c r="G46" i="1"/>
  <c r="F50" i="1"/>
  <c r="F49" i="1"/>
  <c r="F48" i="1"/>
  <c r="F47" i="1"/>
  <c r="F46" i="1"/>
  <c r="F39" i="1"/>
  <c r="G38" i="1"/>
  <c r="G37" i="1"/>
  <c r="G36" i="1"/>
  <c r="G35" i="1"/>
  <c r="G39" i="1"/>
  <c r="I33" i="1"/>
  <c r="H38" i="1"/>
  <c r="H37" i="1"/>
  <c r="H39" i="1"/>
  <c r="H36" i="1"/>
  <c r="N19" i="1"/>
  <c r="G24" i="1"/>
  <c r="G22" i="1"/>
  <c r="G21" i="1"/>
  <c r="N8" i="1"/>
  <c r="H14" i="1"/>
  <c r="F11" i="1"/>
  <c r="I8" i="1"/>
  <c r="H13" i="1"/>
  <c r="F10" i="1"/>
  <c r="H12" i="1"/>
  <c r="H11" i="1"/>
  <c r="G14" i="1"/>
  <c r="G13" i="1"/>
  <c r="F12" i="1"/>
  <c r="G12" i="1"/>
  <c r="G11" i="1"/>
  <c r="G10" i="1"/>
  <c r="F14" i="1"/>
  <c r="F13" i="1"/>
  <c r="I19" i="1"/>
  <c r="H22" i="1"/>
  <c r="F21" i="1"/>
  <c r="F26" i="1"/>
  <c r="F25" i="1"/>
  <c r="F24" i="1"/>
  <c r="F23" i="1"/>
  <c r="F22" i="1"/>
  <c r="H24" i="1"/>
  <c r="G25" i="1"/>
  <c r="G23" i="1"/>
  <c r="H23" i="1"/>
  <c r="H25" i="1"/>
  <c r="I48" i="1" l="1"/>
  <c r="I49" i="1"/>
  <c r="I50" i="1"/>
  <c r="I47" i="1"/>
  <c r="B46" i="1"/>
  <c r="B51" i="1"/>
  <c r="I37" i="1"/>
  <c r="I38" i="1"/>
  <c r="I39" i="1"/>
  <c r="I14" i="1"/>
  <c r="I36" i="1"/>
  <c r="C35" i="1" s="1"/>
  <c r="I13" i="1"/>
  <c r="I12" i="1"/>
  <c r="I11" i="1"/>
  <c r="F40" i="1"/>
  <c r="N14" i="1"/>
  <c r="N16" i="1"/>
  <c r="N17" i="1"/>
  <c r="N41" i="1" l="1"/>
  <c r="F51" i="1"/>
  <c r="C46" i="1"/>
  <c r="C47" i="1" s="1"/>
  <c r="D10" i="1"/>
  <c r="D11" i="1" s="1"/>
  <c r="C10" i="1"/>
  <c r="C11" i="1" s="1"/>
  <c r="D9" i="1"/>
  <c r="F15" i="1"/>
  <c r="C48" i="1" l="1"/>
  <c r="D20" i="1"/>
  <c r="D21" i="1" s="1"/>
  <c r="D50" i="1" l="1"/>
  <c r="D45" i="1"/>
  <c r="D34" i="1"/>
  <c r="D35" i="1" l="1"/>
  <c r="D46" i="1"/>
  <c r="D47" i="1" s="1"/>
  <c r="D48" i="1" l="1"/>
  <c r="E47" i="1"/>
  <c r="E46" i="1"/>
  <c r="E10" i="1"/>
  <c r="E48" i="1" l="1"/>
  <c r="I25" i="1"/>
  <c r="I23" i="1"/>
  <c r="I22" i="1"/>
  <c r="I24" i="1"/>
  <c r="D12" i="1"/>
  <c r="C21" i="1" l="1"/>
  <c r="C22" i="1" s="1"/>
  <c r="D36" i="1"/>
  <c r="D37" i="1" s="1"/>
  <c r="D51" i="1" s="1"/>
  <c r="C12" i="1"/>
  <c r="C23" i="1" l="1"/>
  <c r="C36" i="1"/>
  <c r="E11" i="1"/>
  <c r="E12" i="1" s="1"/>
  <c r="D22" i="1"/>
  <c r="D23" i="1" s="1"/>
  <c r="E35" i="1" l="1"/>
  <c r="E36" i="1"/>
  <c r="E37" i="1" l="1"/>
  <c r="E51" i="1" s="1"/>
  <c r="C37" i="1"/>
  <c r="C51" i="1" s="1"/>
  <c r="E22" i="1"/>
  <c r="E21" i="1"/>
  <c r="E23" i="1" l="1"/>
</calcChain>
</file>

<file path=xl/sharedStrings.xml><?xml version="1.0" encoding="utf-8"?>
<sst xmlns="http://schemas.openxmlformats.org/spreadsheetml/2006/main" count="164" uniqueCount="53">
  <si>
    <t>以上</t>
    <rPh sb="0" eb="2">
      <t>イジョウ</t>
    </rPh>
    <phoneticPr fontId="1"/>
  </si>
  <si>
    <t>以下</t>
    <rPh sb="0" eb="2">
      <t>イカ</t>
    </rPh>
    <phoneticPr fontId="1"/>
  </si>
  <si>
    <t>単価</t>
    <rPh sb="0" eb="2">
      <t>タンカ</t>
    </rPh>
    <phoneticPr fontId="1"/>
  </si>
  <si>
    <t>用途</t>
    <rPh sb="0" eb="2">
      <t>ヨウト</t>
    </rPh>
    <phoneticPr fontId="1"/>
  </si>
  <si>
    <t>水道料金</t>
    <rPh sb="0" eb="2">
      <t>スイドウ</t>
    </rPh>
    <rPh sb="2" eb="4">
      <t>リョウキン</t>
    </rPh>
    <phoneticPr fontId="1"/>
  </si>
  <si>
    <t>基本料金</t>
    <rPh sb="0" eb="4">
      <t>キホンリョウキン</t>
    </rPh>
    <phoneticPr fontId="1"/>
  </si>
  <si>
    <t>基地用</t>
    <rPh sb="0" eb="3">
      <t>キチヨウ</t>
    </rPh>
    <phoneticPr fontId="1"/>
  </si>
  <si>
    <t>1～8ｍ3</t>
    <phoneticPr fontId="1"/>
  </si>
  <si>
    <t>1～10ｍ3</t>
    <phoneticPr fontId="1"/>
  </si>
  <si>
    <t>基本料金</t>
    <rPh sb="0" eb="2">
      <t>キホン</t>
    </rPh>
    <rPh sb="2" eb="4">
      <t>リョウキン</t>
    </rPh>
    <phoneticPr fontId="1"/>
  </si>
  <si>
    <t>超過料金</t>
    <rPh sb="0" eb="2">
      <t>チョウカ</t>
    </rPh>
    <rPh sb="2" eb="4">
      <t>リョウキン</t>
    </rPh>
    <phoneticPr fontId="1"/>
  </si>
  <si>
    <t>合計</t>
    <rPh sb="0" eb="2">
      <t>ゴウケイ</t>
    </rPh>
    <phoneticPr fontId="1"/>
  </si>
  <si>
    <t>水道料金（内訳）</t>
    <rPh sb="0" eb="4">
      <t>スイドウリョウキン</t>
    </rPh>
    <rPh sb="5" eb="7">
      <t>ウチワケ</t>
    </rPh>
    <phoneticPr fontId="1"/>
  </si>
  <si>
    <t>下水道</t>
    <rPh sb="0" eb="3">
      <t>ゲスイドウ</t>
    </rPh>
    <phoneticPr fontId="1"/>
  </si>
  <si>
    <t>下水道料金（内訳）</t>
    <rPh sb="0" eb="1">
      <t>ゲ</t>
    </rPh>
    <rPh sb="1" eb="5">
      <t>スイドウリョウキン</t>
    </rPh>
    <rPh sb="6" eb="8">
      <t>ウチワケ</t>
    </rPh>
    <phoneticPr fontId="1"/>
  </si>
  <si>
    <t>使用水量（ｍ3）</t>
    <rPh sb="0" eb="2">
      <t>シヨウ</t>
    </rPh>
    <rPh sb="2" eb="4">
      <t>スイリョウ</t>
    </rPh>
    <phoneticPr fontId="1"/>
  </si>
  <si>
    <t>以上</t>
  </si>
  <si>
    <t>以下</t>
  </si>
  <si>
    <t>単価</t>
  </si>
  <si>
    <t>令和７年５月調定分～</t>
    <rPh sb="0" eb="2">
      <t>レイワ</t>
    </rPh>
    <rPh sb="3" eb="4">
      <t>ネン</t>
    </rPh>
    <rPh sb="5" eb="6">
      <t>ガツ</t>
    </rPh>
    <rPh sb="6" eb="8">
      <t>チョウテイ</t>
    </rPh>
    <rPh sb="8" eb="9">
      <t>ブン</t>
    </rPh>
    <phoneticPr fontId="1"/>
  </si>
  <si>
    <t>令和６年１１月調定分～</t>
    <rPh sb="0" eb="2">
      <t>レイワ</t>
    </rPh>
    <rPh sb="3" eb="4">
      <t>ネン</t>
    </rPh>
    <rPh sb="6" eb="7">
      <t>ガツ</t>
    </rPh>
    <rPh sb="7" eb="10">
      <t>チョウテイブン</t>
    </rPh>
    <phoneticPr fontId="1"/>
  </si>
  <si>
    <t xml:space="preserve">                   </t>
    <phoneticPr fontId="1"/>
  </si>
  <si>
    <t>水道料金（内訳）</t>
    <phoneticPr fontId="1"/>
  </si>
  <si>
    <t>消費税</t>
    <rPh sb="0" eb="3">
      <t>ショウヒゼイ</t>
    </rPh>
    <phoneticPr fontId="1"/>
  </si>
  <si>
    <t>合　計</t>
    <rPh sb="0" eb="1">
      <t>ゴウ</t>
    </rPh>
    <rPh sb="2" eb="3">
      <t>ケイ</t>
    </rPh>
    <phoneticPr fontId="1"/>
  </si>
  <si>
    <t>令和４年４月調定分～</t>
    <rPh sb="0" eb="2">
      <t>レイワ</t>
    </rPh>
    <rPh sb="3" eb="4">
      <t>ネン</t>
    </rPh>
    <rPh sb="5" eb="6">
      <t>ガツ</t>
    </rPh>
    <rPh sb="6" eb="9">
      <t>チョウテイブン</t>
    </rPh>
    <phoneticPr fontId="1"/>
  </si>
  <si>
    <t>上下水道料金計算表</t>
    <rPh sb="0" eb="2">
      <t>ジョウゲ</t>
    </rPh>
    <rPh sb="2" eb="4">
      <t>スイドウ</t>
    </rPh>
    <rPh sb="4" eb="6">
      <t>リョウキン</t>
    </rPh>
    <rPh sb="6" eb="9">
      <t>ケイサンヒョウ</t>
    </rPh>
    <phoneticPr fontId="1"/>
  </si>
  <si>
    <t>～令和６年１０月調定分</t>
    <rPh sb="1" eb="3">
      <t>レイワ</t>
    </rPh>
    <rPh sb="4" eb="5">
      <t>ネン</t>
    </rPh>
    <rPh sb="7" eb="8">
      <t>ガツ</t>
    </rPh>
    <rPh sb="8" eb="10">
      <t>チョウテイ</t>
    </rPh>
    <rPh sb="10" eb="11">
      <t>ブン</t>
    </rPh>
    <phoneticPr fontId="1"/>
  </si>
  <si>
    <t>0円</t>
    <rPh sb="1" eb="2">
      <t>エン</t>
    </rPh>
    <phoneticPr fontId="1"/>
  </si>
  <si>
    <t>←用途をプルダウンから選択してください。</t>
    <rPh sb="1" eb="3">
      <t>ヨウト</t>
    </rPh>
    <rPh sb="11" eb="13">
      <t>センタク</t>
    </rPh>
    <phoneticPr fontId="1"/>
  </si>
  <si>
    <t>営業用</t>
    <rPh sb="0" eb="3">
      <t>エイギョウヨウ</t>
    </rPh>
    <phoneticPr fontId="1"/>
  </si>
  <si>
    <t>官公署用</t>
    <rPh sb="0" eb="4">
      <t>カンコウショヨウ</t>
    </rPh>
    <phoneticPr fontId="1"/>
  </si>
  <si>
    <t>臨時用</t>
    <rPh sb="0" eb="3">
      <t>リンジヨウ</t>
    </rPh>
    <phoneticPr fontId="1"/>
  </si>
  <si>
    <t>船舶用</t>
    <rPh sb="0" eb="3">
      <t>センパクヨウ</t>
    </rPh>
    <phoneticPr fontId="1"/>
  </si>
  <si>
    <t>家庭用</t>
    <rPh sb="0" eb="3">
      <t>カテイヨウ</t>
    </rPh>
    <phoneticPr fontId="1"/>
  </si>
  <si>
    <t>←１カ月の使用水量を入力してください。</t>
    <rPh sb="3" eb="4">
      <t>ツキ</t>
    </rPh>
    <rPh sb="5" eb="7">
      <t>シヨウ</t>
    </rPh>
    <rPh sb="7" eb="9">
      <t>スイリョウ</t>
    </rPh>
    <rPh sb="10" eb="12">
      <t>ニュウリョク</t>
    </rPh>
    <phoneticPr fontId="1"/>
  </si>
  <si>
    <t>下水道有無</t>
    <rPh sb="0" eb="3">
      <t>ゲスイドウ</t>
    </rPh>
    <rPh sb="3" eb="5">
      <t>ウム</t>
    </rPh>
    <phoneticPr fontId="1"/>
  </si>
  <si>
    <t>←下水道の有無をプルダウンから選択してください。</t>
    <rPh sb="1" eb="4">
      <t>ゲスイドウ</t>
    </rPh>
    <rPh sb="5" eb="7">
      <t>ウム</t>
    </rPh>
    <rPh sb="15" eb="17">
      <t>センタク</t>
    </rPh>
    <phoneticPr fontId="1"/>
  </si>
  <si>
    <t>令和６年１１月調定分～令和７年４月調定分</t>
    <rPh sb="0" eb="2">
      <t>レイワ</t>
    </rPh>
    <rPh sb="3" eb="4">
      <t>ネン</t>
    </rPh>
    <rPh sb="6" eb="7">
      <t>ガツ</t>
    </rPh>
    <rPh sb="7" eb="9">
      <t>チョウテイ</t>
    </rPh>
    <rPh sb="9" eb="10">
      <t>ブン</t>
    </rPh>
    <rPh sb="11" eb="13">
      <t>レイワ</t>
    </rPh>
    <rPh sb="14" eb="15">
      <t>ネン</t>
    </rPh>
    <rPh sb="16" eb="17">
      <t>ガツ</t>
    </rPh>
    <rPh sb="17" eb="19">
      <t>チョウテイ</t>
    </rPh>
    <rPh sb="19" eb="20">
      <t>ブン</t>
    </rPh>
    <phoneticPr fontId="1"/>
  </si>
  <si>
    <t>用　　途</t>
    <rPh sb="0" eb="1">
      <t>ヨウ</t>
    </rPh>
    <rPh sb="3" eb="4">
      <t>ト</t>
    </rPh>
    <phoneticPr fontId="1"/>
  </si>
  <si>
    <t>下記に必要項目を入力してください。</t>
    <rPh sb="0" eb="2">
      <t>カキ</t>
    </rPh>
    <rPh sb="3" eb="5">
      <t>ヒツヨウ</t>
    </rPh>
    <rPh sb="5" eb="7">
      <t>コウモク</t>
    </rPh>
    <rPh sb="8" eb="10">
      <t>ニュウリョク</t>
    </rPh>
    <phoneticPr fontId="1"/>
  </si>
  <si>
    <t>0円</t>
  </si>
  <si>
    <t>減免後</t>
    <rPh sb="0" eb="2">
      <t>ゲンメン</t>
    </rPh>
    <rPh sb="2" eb="3">
      <t>ゴ</t>
    </rPh>
    <phoneticPr fontId="1"/>
  </si>
  <si>
    <t>差額</t>
    <rPh sb="0" eb="2">
      <t>サガク</t>
    </rPh>
    <phoneticPr fontId="1"/>
  </si>
  <si>
    <t>【減免後】令和７年５月調定分～</t>
    <rPh sb="1" eb="4">
      <t>ゲンメンゴ</t>
    </rPh>
    <rPh sb="5" eb="7">
      <t>レイワ</t>
    </rPh>
    <rPh sb="8" eb="9">
      <t>ネン</t>
    </rPh>
    <rPh sb="10" eb="11">
      <t>ガツ</t>
    </rPh>
    <rPh sb="11" eb="14">
      <t>チョウテイブン</t>
    </rPh>
    <phoneticPr fontId="1"/>
  </si>
  <si>
    <t>差　　額</t>
    <rPh sb="0" eb="1">
      <t>サ</t>
    </rPh>
    <rPh sb="3" eb="4">
      <t>ガク</t>
    </rPh>
    <phoneticPr fontId="1"/>
  </si>
  <si>
    <t>令和８年5月調定分～</t>
    <rPh sb="0" eb="2">
      <t>レイワ</t>
    </rPh>
    <rPh sb="3" eb="4">
      <t>ネン</t>
    </rPh>
    <rPh sb="5" eb="6">
      <t>ガツ</t>
    </rPh>
    <rPh sb="6" eb="9">
      <t>チョウテイブン</t>
    </rPh>
    <phoneticPr fontId="1"/>
  </si>
  <si>
    <t>家庭用</t>
  </si>
  <si>
    <t>0円</t>
    <phoneticPr fontId="1"/>
  </si>
  <si>
    <t>令和8年５月調定分～</t>
    <rPh sb="0" eb="2">
      <t>レイワ</t>
    </rPh>
    <rPh sb="3" eb="4">
      <t>ネン</t>
    </rPh>
    <rPh sb="5" eb="6">
      <t>ガツ</t>
    </rPh>
    <rPh sb="6" eb="8">
      <t>チョウテイ</t>
    </rPh>
    <rPh sb="8" eb="9">
      <t>ブン</t>
    </rPh>
    <phoneticPr fontId="1"/>
  </si>
  <si>
    <t>0円</t>
    <phoneticPr fontId="1"/>
  </si>
  <si>
    <t>※令和７年４月１日改定、令和８年４月１日改定の料金を計算します。</t>
    <rPh sb="1" eb="3">
      <t>レイワ</t>
    </rPh>
    <rPh sb="4" eb="5">
      <t>ネン</t>
    </rPh>
    <rPh sb="6" eb="7">
      <t>ガツ</t>
    </rPh>
    <rPh sb="8" eb="9">
      <t>ニチ</t>
    </rPh>
    <rPh sb="9" eb="11">
      <t>カイテイ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カイテイ</t>
    </rPh>
    <rPh sb="23" eb="25">
      <t>リョウキン</t>
    </rPh>
    <rPh sb="26" eb="28">
      <t>ケイサン</t>
    </rPh>
    <phoneticPr fontId="1"/>
  </si>
  <si>
    <t>下水道（有）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</si>
</sst>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#&quot;円&quot;"/>
    <numFmt numFmtId="177" formatCode="#,###&quot;㎥&quot;"/>
    <numFmt numFmtId="178" formatCode="@\(&quot;税&quot;&quot;抜&quot;\)"/>
    <numFmt numFmtId="179" formatCode="0_ 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/>
  </cellStyleXfs>
  <cellXfs count="98">
    <xf numFmtId="0" fontId="0" fillId="0" borderId="0" xfId="0">
      <alignment vertical="center"/>
    </xf>
    <xf numFmtId="0" fontId="0" fillId="4" borderId="0" xfId="0" applyFill="1">
      <alignment vertical="center"/>
    </xf>
    <xf numFmtId="0" fontId="0" fillId="2" borderId="0" xfId="0" applyFill="1" applyProtection="1">
      <alignment vertical="center"/>
      <protection hidden="1"/>
    </xf>
    <xf numFmtId="0" fontId="9" fillId="2" borderId="0" xfId="0" applyFont="1" applyFill="1" applyProtection="1">
      <alignment vertical="center"/>
      <protection hidden="1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Protection="1">
      <alignment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4" borderId="1" xfId="0" applyFill="1" applyBorder="1" applyAlignment="1" applyProtection="1">
      <alignment horizontal="center" vertical="center" shrinkToFit="1"/>
      <protection locked="0" hidden="1"/>
    </xf>
    <xf numFmtId="0" fontId="0" fillId="0" borderId="1" xfId="0" applyBorder="1" applyAlignment="1" applyProtection="1">
      <alignment horizontal="center" vertical="center" shrinkToFit="1"/>
      <protection hidden="1"/>
    </xf>
    <xf numFmtId="177" fontId="0" fillId="4" borderId="1" xfId="1" applyNumberFormat="1" applyFont="1" applyFill="1" applyBorder="1" applyAlignment="1" applyProtection="1">
      <alignment horizontal="center" vertical="center"/>
      <protection locked="0" hidden="1"/>
    </xf>
    <xf numFmtId="0" fontId="0" fillId="0" borderId="8" xfId="0" applyBorder="1" applyAlignment="1" applyProtection="1">
      <alignment horizontal="center" vertical="center"/>
      <protection hidden="1"/>
    </xf>
    <xf numFmtId="0" fontId="0" fillId="4" borderId="8" xfId="0" applyFill="1" applyBorder="1" applyAlignment="1" applyProtection="1">
      <alignment horizontal="center" vertical="center"/>
      <protection locked="0" hidden="1"/>
    </xf>
    <xf numFmtId="0" fontId="0" fillId="2" borderId="0" xfId="0" applyFill="1" applyBorder="1" applyProtection="1">
      <alignment vertical="center"/>
      <protection hidden="1"/>
    </xf>
    <xf numFmtId="0" fontId="0" fillId="2" borderId="4" xfId="0" applyFill="1" applyBorder="1" applyAlignment="1" applyProtection="1">
      <alignment horizontal="center" vertical="center"/>
      <protection hidden="1"/>
    </xf>
    <xf numFmtId="0" fontId="0" fillId="2" borderId="0" xfId="0" applyFill="1" applyBorder="1" applyAlignment="1" applyProtection="1">
      <alignment horizontal="left" vertical="center" shrinkToFit="1"/>
      <protection hidden="1"/>
    </xf>
    <xf numFmtId="0" fontId="0" fillId="2" borderId="0" xfId="0" applyFill="1" applyBorder="1" applyAlignment="1" applyProtection="1">
      <alignment vertical="center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176" fontId="0" fillId="0" borderId="1" xfId="1" applyNumberFormat="1" applyFont="1" applyBorder="1" applyAlignment="1" applyProtection="1">
      <alignment vertical="center"/>
      <protection hidden="1"/>
    </xf>
    <xf numFmtId="0" fontId="0" fillId="0" borderId="1" xfId="0" applyFill="1" applyBorder="1" applyProtection="1">
      <alignment vertical="center"/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38" fontId="0" fillId="0" borderId="1" xfId="1" applyFont="1" applyBorder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 vertical="center" wrapText="1"/>
      <protection hidden="1"/>
    </xf>
    <xf numFmtId="178" fontId="0" fillId="0" borderId="1" xfId="0" applyNumberFormat="1" applyBorder="1" applyAlignment="1" applyProtection="1">
      <alignment horizontal="center" vertical="center"/>
      <protection hidden="1"/>
    </xf>
    <xf numFmtId="176" fontId="0" fillId="0" borderId="1" xfId="1" applyNumberFormat="1" applyFont="1" applyBorder="1" applyProtection="1">
      <alignment vertical="center"/>
      <protection hidden="1"/>
    </xf>
    <xf numFmtId="177" fontId="0" fillId="0" borderId="1" xfId="1" applyNumberFormat="1" applyFont="1" applyBorder="1" applyAlignment="1" applyProtection="1">
      <alignment vertical="center" shrinkToFit="1"/>
      <protection hidden="1"/>
    </xf>
    <xf numFmtId="176" fontId="0" fillId="0" borderId="1" xfId="1" applyNumberFormat="1" applyFont="1" applyBorder="1" applyAlignment="1" applyProtection="1">
      <alignment horizontal="right" vertical="center" shrinkToFit="1"/>
      <protection hidden="1"/>
    </xf>
    <xf numFmtId="176" fontId="6" fillId="0" borderId="1" xfId="0" applyNumberFormat="1" applyFont="1" applyBorder="1" applyAlignment="1" applyProtection="1">
      <alignment horizontal="right" vertical="center"/>
      <protection hidden="1"/>
    </xf>
    <xf numFmtId="176" fontId="0" fillId="0" borderId="1" xfId="1" applyNumberFormat="1" applyFont="1" applyBorder="1" applyAlignment="1" applyProtection="1">
      <alignment vertical="center" shrinkToFit="1"/>
      <protection hidden="1"/>
    </xf>
    <xf numFmtId="0" fontId="0" fillId="2" borderId="0" xfId="0" applyFill="1" applyAlignment="1" applyProtection="1">
      <alignment vertical="center" wrapText="1"/>
      <protection hidden="1"/>
    </xf>
    <xf numFmtId="0" fontId="0" fillId="3" borderId="1" xfId="0" applyFill="1" applyBorder="1" applyAlignment="1" applyProtection="1">
      <alignment horizontal="center" vertical="center"/>
      <protection hidden="1"/>
    </xf>
    <xf numFmtId="176" fontId="0" fillId="3" borderId="1" xfId="0" applyNumberFormat="1" applyFill="1" applyBorder="1" applyProtection="1">
      <alignment vertical="center"/>
      <protection hidden="1"/>
    </xf>
    <xf numFmtId="0" fontId="5" fillId="2" borderId="0" xfId="0" applyFont="1" applyFill="1" applyBorder="1" applyAlignment="1" applyProtection="1">
      <alignment horizontal="center" vertical="center"/>
      <protection hidden="1"/>
    </xf>
    <xf numFmtId="0" fontId="5" fillId="2" borderId="2" xfId="0" applyFont="1" applyFill="1" applyBorder="1" applyAlignment="1" applyProtection="1">
      <alignment horizontal="center" vertical="center"/>
      <protection hidden="1"/>
    </xf>
    <xf numFmtId="178" fontId="0" fillId="0" borderId="1" xfId="0" applyNumberFormat="1" applyFill="1" applyBorder="1" applyAlignment="1" applyProtection="1">
      <alignment horizontal="center" vertical="center" shrinkToFit="1"/>
      <protection hidden="1"/>
    </xf>
    <xf numFmtId="0" fontId="0" fillId="0" borderId="0" xfId="0" applyAlignment="1" applyProtection="1">
      <alignment horizontal="center" vertical="center"/>
      <protection hidden="1"/>
    </xf>
    <xf numFmtId="38" fontId="0" fillId="2" borderId="0" xfId="1" applyFont="1" applyFill="1" applyBorder="1" applyAlignment="1" applyProtection="1">
      <alignment vertical="center"/>
      <protection hidden="1"/>
    </xf>
    <xf numFmtId="178" fontId="0" fillId="0" borderId="1" xfId="0" applyNumberFormat="1" applyBorder="1" applyAlignment="1" applyProtection="1">
      <alignment horizontal="center" vertical="center" shrinkToFit="1"/>
      <protection hidden="1"/>
    </xf>
    <xf numFmtId="176" fontId="0" fillId="0" borderId="1" xfId="1" applyNumberFormat="1" applyFont="1" applyFill="1" applyBorder="1" applyProtection="1">
      <alignment vertical="center"/>
      <protection hidden="1"/>
    </xf>
    <xf numFmtId="176" fontId="0" fillId="0" borderId="1" xfId="0" applyNumberFormat="1" applyBorder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8" fillId="2" borderId="0" xfId="0" applyFont="1" applyFill="1" applyBorder="1" applyAlignment="1" applyProtection="1">
      <alignment horizontal="center" vertical="center"/>
      <protection hidden="1"/>
    </xf>
    <xf numFmtId="179" fontId="8" fillId="2" borderId="0" xfId="0" applyNumberFormat="1" applyFont="1" applyFill="1" applyBorder="1" applyAlignment="1" applyProtection="1">
      <alignment horizontal="center" vertical="center" shrinkToFit="1"/>
      <protection hidden="1"/>
    </xf>
    <xf numFmtId="176" fontId="8" fillId="2" borderId="0" xfId="0" applyNumberFormat="1" applyFont="1" applyFill="1" applyBorder="1" applyProtection="1">
      <alignment vertical="center"/>
      <protection hidden="1"/>
    </xf>
    <xf numFmtId="176" fontId="0" fillId="0" borderId="8" xfId="1" applyNumberFormat="1" applyFont="1" applyBorder="1" applyAlignment="1" applyProtection="1">
      <alignment vertical="center" shrinkToFit="1"/>
      <protection hidden="1"/>
    </xf>
    <xf numFmtId="0" fontId="0" fillId="0" borderId="0" xfId="0" applyFill="1" applyProtection="1">
      <alignment vertical="center"/>
      <protection hidden="1"/>
    </xf>
    <xf numFmtId="176" fontId="0" fillId="2" borderId="0" xfId="0" applyNumberFormat="1" applyFill="1" applyProtection="1">
      <alignment vertical="center"/>
      <protection hidden="1"/>
    </xf>
    <xf numFmtId="177" fontId="0" fillId="2" borderId="4" xfId="1" applyNumberFormat="1" applyFont="1" applyFill="1" applyBorder="1" applyAlignment="1" applyProtection="1">
      <alignment vertical="center" shrinkToFit="1"/>
      <protection hidden="1"/>
    </xf>
    <xf numFmtId="176" fontId="0" fillId="2" borderId="4" xfId="1" applyNumberFormat="1" applyFont="1" applyFill="1" applyBorder="1" applyAlignment="1" applyProtection="1">
      <alignment vertical="center" shrinkToFit="1"/>
      <protection hidden="1"/>
    </xf>
    <xf numFmtId="179" fontId="8" fillId="5" borderId="1" xfId="0" applyNumberFormat="1" applyFont="1" applyFill="1" applyBorder="1" applyAlignment="1" applyProtection="1">
      <alignment horizontal="center" vertical="center" shrinkToFit="1"/>
      <protection hidden="1"/>
    </xf>
    <xf numFmtId="176" fontId="8" fillId="5" borderId="1" xfId="0" applyNumberFormat="1" applyFont="1" applyFill="1" applyBorder="1" applyProtection="1">
      <alignment vertical="center"/>
      <protection hidden="1"/>
    </xf>
    <xf numFmtId="0" fontId="0" fillId="5" borderId="1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vertical="center"/>
      <protection hidden="1"/>
    </xf>
    <xf numFmtId="38" fontId="0" fillId="0" borderId="0" xfId="1" applyFont="1">
      <alignment vertical="center"/>
    </xf>
    <xf numFmtId="38" fontId="12" fillId="2" borderId="0" xfId="1" applyFont="1" applyFill="1" applyBorder="1" applyAlignment="1" applyProtection="1">
      <alignment vertical="center"/>
      <protection hidden="1"/>
    </xf>
    <xf numFmtId="0" fontId="5" fillId="2" borderId="0" xfId="0" applyFont="1" applyFill="1" applyBorder="1" applyAlignment="1" applyProtection="1">
      <alignment vertical="center"/>
      <protection hidden="1"/>
    </xf>
    <xf numFmtId="38" fontId="0" fillId="2" borderId="1" xfId="1" applyFont="1" applyFill="1" applyBorder="1" applyAlignment="1" applyProtection="1">
      <alignment horizontal="center" vertical="center"/>
      <protection hidden="1"/>
    </xf>
    <xf numFmtId="0" fontId="0" fillId="3" borderId="1" xfId="0" applyFill="1" applyBorder="1" applyAlignment="1" applyProtection="1">
      <alignment horizontal="center" vertical="center"/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0" fillId="0" borderId="0" xfId="0" applyFill="1">
      <alignment vertical="center"/>
    </xf>
    <xf numFmtId="0" fontId="5" fillId="0" borderId="0" xfId="0" applyFont="1">
      <alignment vertical="center"/>
    </xf>
    <xf numFmtId="177" fontId="0" fillId="2" borderId="0" xfId="1" applyNumberFormat="1" applyFont="1" applyFill="1" applyBorder="1" applyAlignment="1" applyProtection="1">
      <alignment vertical="center" shrinkToFit="1"/>
      <protection hidden="1"/>
    </xf>
    <xf numFmtId="176" fontId="0" fillId="2" borderId="0" xfId="1" applyNumberFormat="1" applyFont="1" applyFill="1" applyBorder="1" applyAlignment="1" applyProtection="1">
      <alignment vertical="center" shrinkToFit="1"/>
      <protection hidden="1"/>
    </xf>
    <xf numFmtId="176" fontId="0" fillId="2" borderId="2" xfId="1" applyNumberFormat="1" applyFont="1" applyFill="1" applyBorder="1" applyAlignment="1" applyProtection="1">
      <alignment vertical="center" shrinkToFit="1"/>
      <protection hidden="1"/>
    </xf>
    <xf numFmtId="0" fontId="0" fillId="2" borderId="4" xfId="0" applyFill="1" applyBorder="1" applyAlignment="1" applyProtection="1">
      <alignment horizontal="left" vertical="center" shrinkToFit="1"/>
      <protection hidden="1"/>
    </xf>
    <xf numFmtId="0" fontId="0" fillId="2" borderId="0" xfId="0" applyFill="1" applyBorder="1" applyAlignment="1" applyProtection="1">
      <alignment horizontal="center" vertical="center"/>
      <protection hidden="1"/>
    </xf>
    <xf numFmtId="38" fontId="0" fillId="2" borderId="2" xfId="1" applyFont="1" applyFill="1" applyBorder="1" applyAlignment="1" applyProtection="1">
      <alignment horizontal="center" vertical="center"/>
      <protection hidden="1"/>
    </xf>
    <xf numFmtId="0" fontId="3" fillId="2" borderId="4" xfId="0" applyFont="1" applyFill="1" applyBorder="1" applyAlignment="1" applyProtection="1">
      <alignment horizontal="center" wrapText="1"/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0" fillId="3" borderId="1" xfId="0" applyFill="1" applyBorder="1" applyAlignment="1" applyProtection="1">
      <alignment horizontal="center" vertical="center"/>
      <protection hidden="1"/>
    </xf>
    <xf numFmtId="0" fontId="0" fillId="3" borderId="3" xfId="0" applyFill="1" applyBorder="1" applyAlignment="1" applyProtection="1">
      <alignment horizontal="center" vertical="center"/>
      <protection hidden="1"/>
    </xf>
    <xf numFmtId="0" fontId="0" fillId="3" borderId="4" xfId="0" applyFill="1" applyBorder="1" applyAlignment="1" applyProtection="1">
      <alignment horizontal="center" vertical="center"/>
      <protection hidden="1"/>
    </xf>
    <xf numFmtId="0" fontId="0" fillId="3" borderId="5" xfId="0" applyFill="1" applyBorder="1" applyAlignment="1" applyProtection="1">
      <alignment horizontal="center" vertical="center"/>
      <protection hidden="1"/>
    </xf>
    <xf numFmtId="0" fontId="0" fillId="3" borderId="6" xfId="0" applyFill="1" applyBorder="1" applyAlignment="1" applyProtection="1">
      <alignment horizontal="center" vertical="center"/>
      <protection hidden="1"/>
    </xf>
    <xf numFmtId="0" fontId="0" fillId="3" borderId="2" xfId="0" applyFill="1" applyBorder="1" applyAlignment="1" applyProtection="1">
      <alignment horizontal="center" vertical="center"/>
      <protection hidden="1"/>
    </xf>
    <xf numFmtId="0" fontId="0" fillId="3" borderId="7" xfId="0" applyFill="1" applyBorder="1" applyAlignment="1" applyProtection="1">
      <alignment horizontal="center" vertical="center"/>
      <protection hidden="1"/>
    </xf>
    <xf numFmtId="0" fontId="0" fillId="3" borderId="9" xfId="0" applyFill="1" applyBorder="1" applyAlignment="1" applyProtection="1">
      <alignment horizontal="center" vertical="center"/>
      <protection hidden="1"/>
    </xf>
    <xf numFmtId="0" fontId="0" fillId="3" borderId="10" xfId="0" applyFill="1" applyBorder="1" applyAlignment="1" applyProtection="1">
      <alignment horizontal="center" vertical="center"/>
      <protection hidden="1"/>
    </xf>
    <xf numFmtId="0" fontId="0" fillId="3" borderId="11" xfId="0" applyFill="1" applyBorder="1" applyAlignment="1" applyProtection="1">
      <alignment horizontal="center" vertical="center"/>
      <protection hidden="1"/>
    </xf>
    <xf numFmtId="0" fontId="11" fillId="5" borderId="1" xfId="0" applyFont="1" applyFill="1" applyBorder="1" applyAlignment="1" applyProtection="1">
      <alignment horizontal="center" vertical="center"/>
      <protection hidden="1"/>
    </xf>
    <xf numFmtId="0" fontId="3" fillId="5" borderId="1" xfId="0" applyFont="1" applyFill="1" applyBorder="1" applyAlignment="1" applyProtection="1">
      <alignment horizontal="center" vertical="center"/>
      <protection hidden="1"/>
    </xf>
    <xf numFmtId="0" fontId="11" fillId="2" borderId="4" xfId="0" applyFont="1" applyFill="1" applyBorder="1" applyAlignment="1" applyProtection="1">
      <alignment horizontal="center" vertical="center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10" fillId="2" borderId="2" xfId="0" applyFont="1" applyFill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wrapText="1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5" fillId="2" borderId="5" xfId="0" applyFont="1" applyFill="1" applyBorder="1" applyAlignment="1" applyProtection="1">
      <alignment horizontal="center" vertical="center"/>
      <protection hidden="1"/>
    </xf>
    <xf numFmtId="0" fontId="5" fillId="2" borderId="8" xfId="0" applyFont="1" applyFill="1" applyBorder="1" applyAlignment="1" applyProtection="1">
      <alignment horizontal="center" vertical="center"/>
      <protection hidden="1"/>
    </xf>
    <xf numFmtId="0" fontId="5" fillId="2" borderId="3" xfId="0" applyFont="1" applyFill="1" applyBorder="1" applyAlignment="1" applyProtection="1">
      <alignment horizontal="center" vertical="center"/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7" fillId="0" borderId="15" xfId="0" applyFont="1" applyBorder="1" applyAlignment="1" applyProtection="1">
      <alignment horizontal="center" vertical="center"/>
      <protection hidden="1"/>
    </xf>
    <xf numFmtId="0" fontId="0" fillId="3" borderId="14" xfId="0" applyFill="1" applyBorder="1" applyAlignment="1" applyProtection="1">
      <alignment horizontal="center" vertical="center"/>
      <protection hidden="1"/>
    </xf>
    <xf numFmtId="0" fontId="0" fillId="2" borderId="12" xfId="0" applyFill="1" applyBorder="1" applyAlignment="1" applyProtection="1">
      <alignment horizontal="center" vertical="center"/>
      <protection hidden="1"/>
    </xf>
    <xf numFmtId="0" fontId="0" fillId="2" borderId="13" xfId="0" applyFill="1" applyBorder="1" applyAlignment="1" applyProtection="1">
      <alignment horizontal="center" vertical="center"/>
      <protection hidden="1"/>
    </xf>
    <xf numFmtId="0" fontId="0" fillId="2" borderId="14" xfId="0" applyFill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left" vertical="center" shrinkToFit="1"/>
      <protection hidden="1"/>
    </xf>
    <xf numFmtId="0" fontId="5" fillId="2" borderId="4" xfId="0" applyFont="1" applyFill="1" applyBorder="1" applyAlignment="1" applyProtection="1">
      <alignment horizontal="center" vertical="center"/>
      <protection hidden="1"/>
    </xf>
  </cellXfs>
  <cellStyles count="3">
    <cellStyle name="桁区切り" xfId="1" builtinId="6"/>
    <cellStyle name="標準" xfId="0" builtinId="0"/>
    <cellStyle name="標準 2" xfId="2"/>
  </cellStyles>
  <dxfs count="1"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54"/>
  <sheetViews>
    <sheetView tabSelected="1" zoomScale="85" zoomScaleNormal="85" workbookViewId="0">
      <selection activeCell="D29" sqref="D29"/>
    </sheetView>
  </sheetViews>
  <sheetFormatPr defaultColWidth="9" defaultRowHeight="18" x14ac:dyDescent="0.55000000000000004"/>
  <cols>
    <col min="1" max="1" width="5" style="5" customWidth="1"/>
    <col min="2" max="2" width="14.58203125" style="5" customWidth="1"/>
    <col min="3" max="5" width="13.33203125" style="5" customWidth="1"/>
    <col min="6" max="6" width="9.08203125" style="40" bestFit="1" customWidth="1"/>
    <col min="7" max="7" width="9.5" style="40" bestFit="1" customWidth="1"/>
    <col min="8" max="8" width="9.08203125" style="40" bestFit="1" customWidth="1"/>
    <col min="9" max="9" width="9.33203125" style="40" customWidth="1"/>
    <col min="10" max="10" width="3.58203125" style="40" customWidth="1"/>
    <col min="11" max="11" width="9.08203125" style="40" bestFit="1" customWidth="1"/>
    <col min="12" max="12" width="9.83203125" style="40" bestFit="1" customWidth="1"/>
    <col min="13" max="13" width="9.08203125" style="40" bestFit="1" customWidth="1"/>
    <col min="14" max="14" width="11.08203125" style="40" customWidth="1"/>
    <col min="15" max="15" width="6.25" style="5" customWidth="1"/>
    <col min="16" max="16" width="6.25" style="45" hidden="1" customWidth="1"/>
    <col min="17" max="60" width="9" style="5" hidden="1" customWidth="1"/>
    <col min="61" max="16384" width="9" style="5"/>
  </cols>
  <sheetData>
    <row r="1" spans="1:60" ht="24.75" customHeight="1" x14ac:dyDescent="0.55000000000000004">
      <c r="A1" s="2"/>
      <c r="B1" s="3" t="s">
        <v>51</v>
      </c>
      <c r="C1" s="2"/>
      <c r="D1" s="2"/>
      <c r="E1" s="2"/>
      <c r="F1" s="4"/>
      <c r="G1" s="4"/>
      <c r="H1" s="4"/>
      <c r="I1" s="4"/>
      <c r="J1" s="4"/>
      <c r="K1" s="4"/>
      <c r="L1" s="4"/>
      <c r="M1" s="4"/>
      <c r="N1" s="4"/>
      <c r="O1" s="2"/>
    </row>
    <row r="2" spans="1:60" ht="24.75" customHeight="1" x14ac:dyDescent="0.55000000000000004">
      <c r="A2" s="2"/>
      <c r="B2" s="90" t="s">
        <v>40</v>
      </c>
      <c r="C2" s="90"/>
      <c r="D2" s="90"/>
      <c r="E2" s="90"/>
      <c r="F2" s="90"/>
      <c r="G2" s="90"/>
      <c r="H2" s="4"/>
      <c r="I2" s="4"/>
      <c r="J2" s="4"/>
      <c r="K2" s="4"/>
      <c r="L2" s="4"/>
      <c r="M2" s="4"/>
      <c r="N2" s="4"/>
      <c r="O2" s="2"/>
    </row>
    <row r="3" spans="1:60" x14ac:dyDescent="0.55000000000000004">
      <c r="A3" s="2"/>
      <c r="B3" s="6" t="s">
        <v>39</v>
      </c>
      <c r="C3" s="7" t="s">
        <v>47</v>
      </c>
      <c r="D3" s="96" t="s">
        <v>29</v>
      </c>
      <c r="E3" s="96"/>
      <c r="F3" s="96"/>
      <c r="G3" s="96"/>
      <c r="H3" s="4"/>
      <c r="I3" s="4"/>
      <c r="J3" s="4"/>
      <c r="K3" s="4"/>
      <c r="L3" s="4"/>
      <c r="M3" s="4"/>
      <c r="N3" s="4"/>
      <c r="O3" s="2"/>
    </row>
    <row r="4" spans="1:60" x14ac:dyDescent="0.55000000000000004">
      <c r="A4" s="2"/>
      <c r="B4" s="8" t="s">
        <v>15</v>
      </c>
      <c r="C4" s="9">
        <v>8</v>
      </c>
      <c r="D4" s="96" t="s">
        <v>35</v>
      </c>
      <c r="E4" s="96"/>
      <c r="F4" s="96"/>
      <c r="G4" s="96"/>
      <c r="H4" s="4"/>
      <c r="I4" s="4"/>
      <c r="J4" s="4"/>
      <c r="K4" s="4"/>
      <c r="L4" s="4"/>
      <c r="M4" s="4"/>
      <c r="N4" s="4"/>
      <c r="O4" s="2"/>
    </row>
    <row r="5" spans="1:60" x14ac:dyDescent="0.55000000000000004">
      <c r="A5" s="2"/>
      <c r="B5" s="10" t="s">
        <v>36</v>
      </c>
      <c r="C5" s="11" t="s">
        <v>52</v>
      </c>
      <c r="D5" s="96" t="s">
        <v>37</v>
      </c>
      <c r="E5" s="96"/>
      <c r="F5" s="96"/>
      <c r="G5" s="96"/>
      <c r="H5" s="4"/>
      <c r="I5" s="4"/>
      <c r="J5" s="4"/>
      <c r="K5" s="4"/>
      <c r="L5" s="4"/>
      <c r="M5" s="4"/>
      <c r="N5" s="4"/>
      <c r="O5" s="2"/>
      <c r="Q5" s="60" t="s">
        <v>25</v>
      </c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</row>
    <row r="6" spans="1:60" x14ac:dyDescent="0.55000000000000004">
      <c r="A6" s="12"/>
      <c r="B6" s="13"/>
      <c r="C6" s="13"/>
      <c r="D6" s="64"/>
      <c r="E6" s="64"/>
      <c r="F6" s="64"/>
      <c r="G6" s="14"/>
      <c r="H6" s="15"/>
      <c r="I6" s="4"/>
      <c r="J6" s="4"/>
      <c r="K6" s="4"/>
      <c r="L6" s="4"/>
      <c r="M6" s="4"/>
      <c r="N6" s="4"/>
      <c r="O6" s="2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</row>
    <row r="7" spans="1:60" ht="22.5" hidden="1" x14ac:dyDescent="0.55000000000000004">
      <c r="A7" s="2"/>
      <c r="B7" s="69" t="s">
        <v>27</v>
      </c>
      <c r="C7" s="69"/>
      <c r="D7" s="91"/>
      <c r="E7" s="91"/>
      <c r="F7" s="92" t="s">
        <v>12</v>
      </c>
      <c r="G7" s="72"/>
      <c r="H7" s="73"/>
      <c r="I7" s="6" t="s">
        <v>9</v>
      </c>
      <c r="J7" s="16"/>
      <c r="K7" s="71" t="s">
        <v>14</v>
      </c>
      <c r="L7" s="72"/>
      <c r="M7" s="73"/>
      <c r="N7" s="6" t="s">
        <v>9</v>
      </c>
      <c r="O7" s="2"/>
      <c r="Q7"/>
      <c r="R7"/>
      <c r="S7"/>
      <c r="T7"/>
      <c r="U7"/>
      <c r="V7"/>
      <c r="W7"/>
      <c r="X7"/>
      <c r="Y7"/>
      <c r="Z7"/>
      <c r="AA7"/>
      <c r="AB7"/>
      <c r="AC7" t="s">
        <v>5</v>
      </c>
      <c r="AD7"/>
      <c r="AE7"/>
      <c r="AF7"/>
      <c r="AG7"/>
      <c r="AH7"/>
      <c r="AI7" t="s">
        <v>13</v>
      </c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</row>
    <row r="8" spans="1:60" hidden="1" x14ac:dyDescent="0.55000000000000004">
      <c r="A8" s="2"/>
      <c r="B8" s="70" t="s">
        <v>26</v>
      </c>
      <c r="C8" s="70"/>
      <c r="D8" s="70"/>
      <c r="E8" s="70"/>
      <c r="F8" s="74"/>
      <c r="G8" s="75"/>
      <c r="H8" s="76"/>
      <c r="I8" s="17">
        <f>VLOOKUP($B$21,Q8:AC13,13,0)</f>
        <v>971</v>
      </c>
      <c r="J8" s="4"/>
      <c r="K8" s="74"/>
      <c r="L8" s="75"/>
      <c r="M8" s="76"/>
      <c r="N8" s="17">
        <f>VLOOKUP($B$21,Q8:AZ13,35,0)</f>
        <v>650</v>
      </c>
      <c r="O8" s="2"/>
      <c r="Q8" t="s">
        <v>34</v>
      </c>
      <c r="R8" t="s">
        <v>7</v>
      </c>
      <c r="S8">
        <v>1</v>
      </c>
      <c r="T8">
        <v>8</v>
      </c>
      <c r="U8">
        <v>9</v>
      </c>
      <c r="V8">
        <v>20</v>
      </c>
      <c r="W8">
        <v>21</v>
      </c>
      <c r="X8">
        <v>100</v>
      </c>
      <c r="Y8">
        <v>101</v>
      </c>
      <c r="Z8">
        <v>300</v>
      </c>
      <c r="AA8">
        <v>301</v>
      </c>
      <c r="AB8">
        <v>99999</v>
      </c>
      <c r="AC8">
        <v>971</v>
      </c>
      <c r="AD8">
        <v>189</v>
      </c>
      <c r="AE8">
        <v>210</v>
      </c>
      <c r="AF8">
        <v>240</v>
      </c>
      <c r="AG8">
        <v>264</v>
      </c>
      <c r="AH8"/>
      <c r="AI8">
        <v>1</v>
      </c>
      <c r="AJ8">
        <v>10</v>
      </c>
      <c r="AK8">
        <v>11</v>
      </c>
      <c r="AL8">
        <v>30</v>
      </c>
      <c r="AM8">
        <v>31</v>
      </c>
      <c r="AN8">
        <v>50</v>
      </c>
      <c r="AO8">
        <v>51</v>
      </c>
      <c r="AP8">
        <v>100</v>
      </c>
      <c r="AQ8">
        <v>101</v>
      </c>
      <c r="AR8">
        <v>300</v>
      </c>
      <c r="AS8">
        <v>301</v>
      </c>
      <c r="AT8">
        <v>99999</v>
      </c>
      <c r="AU8"/>
      <c r="AV8"/>
      <c r="AW8"/>
      <c r="AX8"/>
      <c r="AY8">
        <v>650</v>
      </c>
      <c r="AZ8">
        <v>95</v>
      </c>
      <c r="BA8">
        <v>110</v>
      </c>
      <c r="BB8">
        <v>130</v>
      </c>
      <c r="BC8">
        <v>155</v>
      </c>
      <c r="BD8">
        <v>175</v>
      </c>
      <c r="BE8"/>
      <c r="BF8"/>
      <c r="BG8"/>
      <c r="BH8"/>
    </row>
    <row r="9" spans="1:60" hidden="1" x14ac:dyDescent="0.55000000000000004">
      <c r="A9" s="2"/>
      <c r="B9" s="18"/>
      <c r="C9" s="19" t="s">
        <v>4</v>
      </c>
      <c r="D9" s="20" t="str">
        <f>C5</f>
        <v>下水道（有）</v>
      </c>
      <c r="E9" s="19" t="s">
        <v>11</v>
      </c>
      <c r="F9" s="21" t="s">
        <v>0</v>
      </c>
      <c r="G9" s="21" t="s">
        <v>1</v>
      </c>
      <c r="H9" s="21" t="s">
        <v>2</v>
      </c>
      <c r="I9" s="21" t="s">
        <v>10</v>
      </c>
      <c r="J9" s="22"/>
      <c r="K9" s="21" t="s">
        <v>0</v>
      </c>
      <c r="L9" s="21" t="s">
        <v>1</v>
      </c>
      <c r="M9" s="21" t="s">
        <v>2</v>
      </c>
      <c r="N9" s="21" t="s">
        <v>10</v>
      </c>
      <c r="O9" s="2"/>
      <c r="Q9" t="s">
        <v>30</v>
      </c>
      <c r="R9" t="s">
        <v>8</v>
      </c>
      <c r="S9">
        <v>1</v>
      </c>
      <c r="T9">
        <v>10</v>
      </c>
      <c r="U9">
        <v>11</v>
      </c>
      <c r="V9">
        <v>30</v>
      </c>
      <c r="W9">
        <v>31</v>
      </c>
      <c r="X9">
        <v>100</v>
      </c>
      <c r="Y9">
        <v>101</v>
      </c>
      <c r="Z9">
        <v>300</v>
      </c>
      <c r="AA9">
        <v>301</v>
      </c>
      <c r="AB9">
        <v>99999</v>
      </c>
      <c r="AC9">
        <v>1554</v>
      </c>
      <c r="AD9">
        <v>210</v>
      </c>
      <c r="AE9">
        <v>240</v>
      </c>
      <c r="AF9">
        <v>264</v>
      </c>
      <c r="AG9">
        <v>284</v>
      </c>
      <c r="AH9"/>
      <c r="AI9">
        <v>1</v>
      </c>
      <c r="AJ9">
        <v>10</v>
      </c>
      <c r="AK9">
        <v>11</v>
      </c>
      <c r="AL9">
        <v>30</v>
      </c>
      <c r="AM9">
        <v>31</v>
      </c>
      <c r="AN9">
        <v>50</v>
      </c>
      <c r="AO9">
        <v>51</v>
      </c>
      <c r="AP9">
        <v>100</v>
      </c>
      <c r="AQ9">
        <v>101</v>
      </c>
      <c r="AR9">
        <v>300</v>
      </c>
      <c r="AS9">
        <v>301</v>
      </c>
      <c r="AT9">
        <v>500</v>
      </c>
      <c r="AU9">
        <v>501</v>
      </c>
      <c r="AV9">
        <v>1000</v>
      </c>
      <c r="AW9">
        <v>1001</v>
      </c>
      <c r="AX9">
        <v>99999</v>
      </c>
      <c r="AY9">
        <v>900</v>
      </c>
      <c r="AZ9">
        <v>120</v>
      </c>
      <c r="BA9">
        <v>140</v>
      </c>
      <c r="BB9">
        <v>145</v>
      </c>
      <c r="BC9">
        <v>160</v>
      </c>
      <c r="BD9">
        <v>180</v>
      </c>
      <c r="BE9">
        <v>185</v>
      </c>
      <c r="BF9">
        <v>188</v>
      </c>
      <c r="BG9"/>
      <c r="BH9"/>
    </row>
    <row r="10" spans="1:60" hidden="1" x14ac:dyDescent="0.55000000000000004">
      <c r="A10" s="2"/>
      <c r="B10" s="23" t="str">
        <f>C3</f>
        <v>家庭用</v>
      </c>
      <c r="C10" s="24">
        <f>IF(OR(計算表!C3="臨時用",計算表!C3="船舶用"),ROUNDDOWN((C4*VLOOKUP(C3,Q8:AH13,18,0)),0),ROUNDDOWN((IF(C4="","",SUM($I$8,I11:I14))),0))</f>
        <v>971</v>
      </c>
      <c r="D10" s="24">
        <f>IF(C5="下水道（有）",ROUNDDOWN((IF(C4="","",SUM($N$8,N11:N17))),0),0)</f>
        <v>650</v>
      </c>
      <c r="E10" s="24">
        <f>SUM(C10:D10)</f>
        <v>1621</v>
      </c>
      <c r="F10" s="25">
        <f>VLOOKUP($B$21,Q8:T13,3,0)</f>
        <v>1</v>
      </c>
      <c r="G10" s="25">
        <f>VLOOKUP($B$21,Q8:T13,4,0)</f>
        <v>8</v>
      </c>
      <c r="H10" s="26" t="s">
        <v>28</v>
      </c>
      <c r="I10" s="26" t="s">
        <v>28</v>
      </c>
      <c r="J10" s="4"/>
      <c r="K10" s="25">
        <f>VLOOKUP($C$3,Q8:BF13,19,0)</f>
        <v>1</v>
      </c>
      <c r="L10" s="25">
        <f>VLOOKUP($C$3,Q8:BF13,20,0)</f>
        <v>10</v>
      </c>
      <c r="M10" s="26" t="s">
        <v>48</v>
      </c>
      <c r="N10" s="26" t="s">
        <v>48</v>
      </c>
      <c r="O10" s="2"/>
      <c r="Q10" t="s">
        <v>31</v>
      </c>
      <c r="R10" t="s">
        <v>8</v>
      </c>
      <c r="S10">
        <v>1</v>
      </c>
      <c r="T10">
        <v>10</v>
      </c>
      <c r="U10">
        <v>11</v>
      </c>
      <c r="V10">
        <v>100</v>
      </c>
      <c r="W10">
        <v>101</v>
      </c>
      <c r="X10">
        <v>300</v>
      </c>
      <c r="Y10">
        <v>301</v>
      </c>
      <c r="Z10">
        <v>500</v>
      </c>
      <c r="AA10">
        <v>501</v>
      </c>
      <c r="AB10">
        <v>99999</v>
      </c>
      <c r="AC10">
        <v>1758</v>
      </c>
      <c r="AD10">
        <v>240</v>
      </c>
      <c r="AE10">
        <v>264</v>
      </c>
      <c r="AF10">
        <v>284</v>
      </c>
      <c r="AG10">
        <v>314</v>
      </c>
      <c r="AH10"/>
      <c r="AI10">
        <v>1</v>
      </c>
      <c r="AJ10">
        <v>10</v>
      </c>
      <c r="AK10">
        <v>11</v>
      </c>
      <c r="AL10">
        <v>30</v>
      </c>
      <c r="AM10">
        <v>31</v>
      </c>
      <c r="AN10">
        <v>50</v>
      </c>
      <c r="AO10">
        <v>51</v>
      </c>
      <c r="AP10">
        <v>100</v>
      </c>
      <c r="AQ10">
        <v>101</v>
      </c>
      <c r="AR10">
        <v>300</v>
      </c>
      <c r="AS10">
        <v>301</v>
      </c>
      <c r="AT10">
        <v>500</v>
      </c>
      <c r="AU10">
        <v>501</v>
      </c>
      <c r="AV10">
        <v>1000</v>
      </c>
      <c r="AW10">
        <v>1001</v>
      </c>
      <c r="AX10">
        <v>99999</v>
      </c>
      <c r="AY10">
        <v>900</v>
      </c>
      <c r="AZ10">
        <v>120</v>
      </c>
      <c r="BA10">
        <v>140</v>
      </c>
      <c r="BB10">
        <v>145</v>
      </c>
      <c r="BC10">
        <v>160</v>
      </c>
      <c r="BD10">
        <v>180</v>
      </c>
      <c r="BE10">
        <v>185</v>
      </c>
      <c r="BF10">
        <v>188</v>
      </c>
      <c r="BG10"/>
      <c r="BH10"/>
    </row>
    <row r="11" spans="1:60" hidden="1" x14ac:dyDescent="0.55000000000000004">
      <c r="A11" s="2"/>
      <c r="B11" s="6" t="s">
        <v>23</v>
      </c>
      <c r="C11" s="27">
        <f>IF(C3="基地用",0,ROUNDDOWN(C10*0.1,0))</f>
        <v>97</v>
      </c>
      <c r="D11" s="27">
        <f>IF(C3="基地用",0,ROUNDDOWN(D10*0.1,0))</f>
        <v>65</v>
      </c>
      <c r="E11" s="27">
        <f>SUM(C11:D11)</f>
        <v>162</v>
      </c>
      <c r="F11" s="25">
        <f>VLOOKUP($B$21,Q8:U13,5,0)</f>
        <v>9</v>
      </c>
      <c r="G11" s="25">
        <f>VLOOKUP($B$21,Q8:V13,6,0)</f>
        <v>20</v>
      </c>
      <c r="H11" s="28">
        <f>VLOOKUP($B$21,Q8:AD13,14,0)</f>
        <v>189</v>
      </c>
      <c r="I11" s="28">
        <f>MAX((MIN(G11,$C$4)-F11+1)*H11,0)</f>
        <v>0</v>
      </c>
      <c r="J11" s="29"/>
      <c r="K11" s="25">
        <f>VLOOKUP($C$3,Q8:BF13,21,0)</f>
        <v>11</v>
      </c>
      <c r="L11" s="25">
        <f>VLOOKUP($C$3,Q8:BF13,22,0)</f>
        <v>30</v>
      </c>
      <c r="M11" s="28">
        <f>VLOOKUP($C$3,Q8:BF13,36,0)</f>
        <v>95</v>
      </c>
      <c r="N11" s="28">
        <f>MAX((MIN(L11,$C$4)-K11+1)*M11,0)</f>
        <v>0</v>
      </c>
      <c r="O11" s="2"/>
      <c r="Q11" t="s">
        <v>32</v>
      </c>
      <c r="R11"/>
      <c r="S11"/>
      <c r="T11"/>
      <c r="U11"/>
      <c r="V11"/>
      <c r="W11"/>
      <c r="X11"/>
      <c r="Y11"/>
      <c r="Z11"/>
      <c r="AA11"/>
      <c r="AB11"/>
      <c r="AC11">
        <v>0</v>
      </c>
      <c r="AD11">
        <v>0</v>
      </c>
      <c r="AE11">
        <v>0</v>
      </c>
      <c r="AF11">
        <v>0</v>
      </c>
      <c r="AG11">
        <v>0</v>
      </c>
      <c r="AH11">
        <v>505</v>
      </c>
      <c r="AI11">
        <v>1</v>
      </c>
      <c r="AJ11">
        <v>10</v>
      </c>
      <c r="AK11">
        <v>11</v>
      </c>
      <c r="AL11">
        <v>30</v>
      </c>
      <c r="AM11">
        <v>31</v>
      </c>
      <c r="AN11">
        <v>50</v>
      </c>
      <c r="AO11">
        <v>51</v>
      </c>
      <c r="AP11">
        <v>100</v>
      </c>
      <c r="AQ11">
        <v>101</v>
      </c>
      <c r="AR11">
        <v>300</v>
      </c>
      <c r="AS11">
        <v>301</v>
      </c>
      <c r="AT11">
        <v>500</v>
      </c>
      <c r="AU11">
        <v>501</v>
      </c>
      <c r="AV11">
        <v>1000</v>
      </c>
      <c r="AW11">
        <v>1001</v>
      </c>
      <c r="AX11">
        <v>99999</v>
      </c>
      <c r="AY11">
        <v>900</v>
      </c>
      <c r="AZ11">
        <v>120</v>
      </c>
      <c r="BA11">
        <v>140</v>
      </c>
      <c r="BB11">
        <v>145</v>
      </c>
      <c r="BC11">
        <v>160</v>
      </c>
      <c r="BD11">
        <v>180</v>
      </c>
      <c r="BE11">
        <v>185</v>
      </c>
      <c r="BF11">
        <v>188</v>
      </c>
      <c r="BG11"/>
      <c r="BH11"/>
    </row>
    <row r="12" spans="1:60" hidden="1" x14ac:dyDescent="0.55000000000000004">
      <c r="A12" s="2"/>
      <c r="B12" s="30" t="s">
        <v>24</v>
      </c>
      <c r="C12" s="31">
        <f>SUM(C10:C11)</f>
        <v>1068</v>
      </c>
      <c r="D12" s="31">
        <f>SUM(D10:D11)</f>
        <v>715</v>
      </c>
      <c r="E12" s="31">
        <f>SUM(E10:E11)</f>
        <v>1783</v>
      </c>
      <c r="F12" s="25">
        <f>VLOOKUP($B$21,Q8:W13,7,0)</f>
        <v>21</v>
      </c>
      <c r="G12" s="25">
        <f>VLOOKUP($B$21,Q8:X13,8,0)</f>
        <v>100</v>
      </c>
      <c r="H12" s="28">
        <f>VLOOKUP($B$21,Q8:AE13,15,0)</f>
        <v>210</v>
      </c>
      <c r="I12" s="28">
        <f>MAX((MIN(G12,$C$4)-F12+1)*H12,0)</f>
        <v>0</v>
      </c>
      <c r="J12" s="4"/>
      <c r="K12" s="25">
        <f>VLOOKUP($C$3,Q8:BF13,23,0)</f>
        <v>31</v>
      </c>
      <c r="L12" s="25">
        <f>VLOOKUP($C$3,Q8:BF13,24,0)</f>
        <v>50</v>
      </c>
      <c r="M12" s="28">
        <f>VLOOKUP($C$3,Q8:BF13,37,0)</f>
        <v>110</v>
      </c>
      <c r="N12" s="28">
        <f>MAX((MIN(L12,$C$4)-K12+1)*M12,0)</f>
        <v>0</v>
      </c>
      <c r="O12" s="2"/>
      <c r="Q12" t="s">
        <v>6</v>
      </c>
      <c r="R12" t="s">
        <v>8</v>
      </c>
      <c r="S12">
        <v>1</v>
      </c>
      <c r="T12">
        <v>10</v>
      </c>
      <c r="U12">
        <v>11</v>
      </c>
      <c r="V12">
        <v>100</v>
      </c>
      <c r="W12">
        <v>101</v>
      </c>
      <c r="X12">
        <v>300</v>
      </c>
      <c r="Y12">
        <v>301</v>
      </c>
      <c r="Z12">
        <v>500</v>
      </c>
      <c r="AA12">
        <v>501</v>
      </c>
      <c r="AB12">
        <v>99999</v>
      </c>
      <c r="AC12">
        <v>1810</v>
      </c>
      <c r="AD12">
        <v>246</v>
      </c>
      <c r="AE12">
        <v>272</v>
      </c>
      <c r="AF12">
        <v>293</v>
      </c>
      <c r="AG12">
        <v>323</v>
      </c>
      <c r="AH12"/>
      <c r="AI12">
        <v>1</v>
      </c>
      <c r="AJ12">
        <v>10</v>
      </c>
      <c r="AK12">
        <v>11</v>
      </c>
      <c r="AL12">
        <v>30</v>
      </c>
      <c r="AM12">
        <v>31</v>
      </c>
      <c r="AN12">
        <v>50</v>
      </c>
      <c r="AO12">
        <v>51</v>
      </c>
      <c r="AP12">
        <v>100</v>
      </c>
      <c r="AQ12">
        <v>101</v>
      </c>
      <c r="AR12">
        <v>300</v>
      </c>
      <c r="AS12">
        <v>301</v>
      </c>
      <c r="AT12">
        <v>500</v>
      </c>
      <c r="AU12">
        <v>501</v>
      </c>
      <c r="AV12">
        <v>1000</v>
      </c>
      <c r="AW12">
        <v>1001</v>
      </c>
      <c r="AX12">
        <v>99999</v>
      </c>
      <c r="AY12">
        <v>900</v>
      </c>
      <c r="AZ12">
        <v>120</v>
      </c>
      <c r="BA12">
        <v>140</v>
      </c>
      <c r="BB12">
        <v>145</v>
      </c>
      <c r="BC12">
        <v>160</v>
      </c>
      <c r="BD12">
        <v>180</v>
      </c>
      <c r="BE12">
        <v>185</v>
      </c>
      <c r="BF12">
        <v>188</v>
      </c>
      <c r="BG12"/>
      <c r="BH12"/>
    </row>
    <row r="13" spans="1:60" hidden="1" x14ac:dyDescent="0.55000000000000004">
      <c r="A13" s="16"/>
      <c r="B13" s="2"/>
      <c r="C13" s="2"/>
      <c r="D13" s="2"/>
      <c r="E13" s="2"/>
      <c r="F13" s="25">
        <f>VLOOKUP($B$21,Q8:Y13,9,0)</f>
        <v>101</v>
      </c>
      <c r="G13" s="25">
        <f>VLOOKUP($B$21,Q8:Z13,10,0)</f>
        <v>300</v>
      </c>
      <c r="H13" s="28">
        <f>VLOOKUP($B$21,Q8:AF13,16,0)</f>
        <v>240</v>
      </c>
      <c r="I13" s="28">
        <f>MAX((MIN(G13,$C$4)-F13+1)*H13,0)</f>
        <v>0</v>
      </c>
      <c r="J13" s="4"/>
      <c r="K13" s="25">
        <f>VLOOKUP($C$3,Q8:BF13,25,0)</f>
        <v>51</v>
      </c>
      <c r="L13" s="25">
        <f>VLOOKUP($C$3,Q8:BF13,26,0)</f>
        <v>100</v>
      </c>
      <c r="M13" s="28">
        <f>VLOOKUP($C$3,Q8:BF13,38,0)</f>
        <v>130</v>
      </c>
      <c r="N13" s="28">
        <f>MAX((MIN(L13,$C$4)-K13+1)*M13,0)</f>
        <v>0</v>
      </c>
      <c r="O13" s="2"/>
      <c r="Q13" t="s">
        <v>33</v>
      </c>
      <c r="R13"/>
      <c r="S13"/>
      <c r="T13"/>
      <c r="U13"/>
      <c r="V13"/>
      <c r="W13"/>
      <c r="X13"/>
      <c r="Y13"/>
      <c r="Z13"/>
      <c r="AA13"/>
      <c r="AB13"/>
      <c r="AC13">
        <v>0</v>
      </c>
      <c r="AD13">
        <v>0</v>
      </c>
      <c r="AE13">
        <v>0</v>
      </c>
      <c r="AF13">
        <v>0</v>
      </c>
      <c r="AG13">
        <v>0</v>
      </c>
      <c r="AH13">
        <v>350</v>
      </c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 t="s">
        <v>21</v>
      </c>
      <c r="AZ13"/>
      <c r="BA13"/>
      <c r="BB13"/>
      <c r="BC13"/>
      <c r="BD13"/>
      <c r="BE13"/>
      <c r="BF13"/>
      <c r="BG13"/>
      <c r="BH13"/>
    </row>
    <row r="14" spans="1:60" hidden="1" x14ac:dyDescent="0.55000000000000004">
      <c r="A14" s="2"/>
      <c r="B14" s="2"/>
      <c r="C14" s="2"/>
      <c r="D14" s="2"/>
      <c r="E14" s="2"/>
      <c r="F14" s="25">
        <f>VLOOKUP($B$21,Q8:AA13,11,0)</f>
        <v>301</v>
      </c>
      <c r="G14" s="25">
        <f>VLOOKUP($B$21,Q8:AB13,12,0)</f>
        <v>99999</v>
      </c>
      <c r="H14" s="28">
        <f>VLOOKUP($B$21,Q8:AG13,17,0)</f>
        <v>264</v>
      </c>
      <c r="I14" s="28">
        <f>MAX((MIN(G14,$C$4)-F14+1)*H14,0)</f>
        <v>0</v>
      </c>
      <c r="J14" s="4"/>
      <c r="K14" s="25">
        <f>VLOOKUP($C$3,Q8:BF13,27,0)</f>
        <v>101</v>
      </c>
      <c r="L14" s="25">
        <f>VLOOKUP($C$3,Q8:BF13,28,0)</f>
        <v>300</v>
      </c>
      <c r="M14" s="28">
        <f>VLOOKUP($C$3,Q8:BF13,39,0)</f>
        <v>155</v>
      </c>
      <c r="N14" s="28">
        <f t="shared" ref="N14:N17" si="0">MAX((MIN(L14,$C$4)-K14+1)*M14,0)</f>
        <v>0</v>
      </c>
      <c r="O14" s="2"/>
      <c r="Q14">
        <v>1</v>
      </c>
      <c r="R14">
        <v>2</v>
      </c>
      <c r="S14">
        <v>3</v>
      </c>
      <c r="T14">
        <v>4</v>
      </c>
      <c r="U14">
        <v>5</v>
      </c>
      <c r="V14">
        <v>6</v>
      </c>
      <c r="W14">
        <v>7</v>
      </c>
      <c r="X14">
        <v>8</v>
      </c>
      <c r="Y14">
        <v>9</v>
      </c>
      <c r="Z14">
        <v>10</v>
      </c>
      <c r="AA14">
        <v>11</v>
      </c>
      <c r="AB14">
        <v>12</v>
      </c>
      <c r="AC14">
        <v>13</v>
      </c>
      <c r="AD14">
        <v>14</v>
      </c>
      <c r="AE14">
        <v>15</v>
      </c>
      <c r="AF14">
        <v>16</v>
      </c>
      <c r="AG14">
        <v>17</v>
      </c>
      <c r="AH14">
        <v>18</v>
      </c>
      <c r="AI14">
        <v>19</v>
      </c>
      <c r="AJ14">
        <v>20</v>
      </c>
      <c r="AK14">
        <v>21</v>
      </c>
      <c r="AL14">
        <v>22</v>
      </c>
      <c r="AM14">
        <v>23</v>
      </c>
      <c r="AN14">
        <v>24</v>
      </c>
      <c r="AO14">
        <v>25</v>
      </c>
      <c r="AP14">
        <v>26</v>
      </c>
      <c r="AQ14">
        <v>27</v>
      </c>
      <c r="AR14">
        <v>28</v>
      </c>
      <c r="AS14">
        <v>29</v>
      </c>
      <c r="AT14">
        <v>30</v>
      </c>
      <c r="AU14">
        <v>31</v>
      </c>
      <c r="AV14">
        <v>32</v>
      </c>
      <c r="AW14">
        <v>33</v>
      </c>
      <c r="AX14">
        <v>34</v>
      </c>
      <c r="AY14">
        <v>35</v>
      </c>
      <c r="AZ14">
        <v>36</v>
      </c>
      <c r="BA14">
        <v>37</v>
      </c>
      <c r="BB14">
        <v>38</v>
      </c>
      <c r="BC14">
        <v>39</v>
      </c>
      <c r="BD14">
        <v>40</v>
      </c>
      <c r="BE14">
        <v>41</v>
      </c>
      <c r="BF14">
        <v>42</v>
      </c>
      <c r="BG14"/>
      <c r="BH14"/>
    </row>
    <row r="15" spans="1:60" hidden="1" x14ac:dyDescent="0.55000000000000004">
      <c r="A15" s="2"/>
      <c r="B15" s="2"/>
      <c r="C15" s="2"/>
      <c r="D15" s="2"/>
      <c r="E15" s="2"/>
      <c r="F15" s="87" t="str">
        <f>IF($C$3="船舶用","※1m3につき　350円（税抜）",IF(C3="臨時用","※1m3につき 505円（税抜）",""))</f>
        <v/>
      </c>
      <c r="G15" s="88"/>
      <c r="H15" s="88"/>
      <c r="I15" s="89"/>
      <c r="J15" s="4"/>
      <c r="K15" s="25">
        <f>VLOOKUP($C$3,Q8:BF13,29,0)</f>
        <v>301</v>
      </c>
      <c r="L15" s="25">
        <f>VLOOKUP($C$3,Q8:BF13,30,0)</f>
        <v>99999</v>
      </c>
      <c r="M15" s="28">
        <f>IF(K15=0,0,VLOOKUP($C$3,Q8:BF13,40,0))</f>
        <v>175</v>
      </c>
      <c r="N15" s="28">
        <f>MAX((MIN(L15,$C$4)-K15+1)*M15,0)</f>
        <v>0</v>
      </c>
      <c r="O15" s="2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</row>
    <row r="16" spans="1:60" hidden="1" x14ac:dyDescent="0.55000000000000004">
      <c r="A16" s="2"/>
      <c r="B16" s="2"/>
      <c r="C16" s="2"/>
      <c r="D16" s="2"/>
      <c r="E16" s="2"/>
      <c r="F16" s="32"/>
      <c r="G16" s="32"/>
      <c r="H16" s="32"/>
      <c r="I16" s="32"/>
      <c r="J16" s="4"/>
      <c r="K16" s="25">
        <f>VLOOKUP($C$3,Q8:BF13,31,0)</f>
        <v>0</v>
      </c>
      <c r="L16" s="25">
        <f>VLOOKUP($C$3,Q8:BF13,32,0)</f>
        <v>0</v>
      </c>
      <c r="M16" s="28">
        <f>IF(K16=0,0,VLOOKUP($C$3,Q8:BF13,41,0))</f>
        <v>0</v>
      </c>
      <c r="N16" s="28">
        <f t="shared" si="0"/>
        <v>0</v>
      </c>
      <c r="O16" s="2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</row>
    <row r="17" spans="1:66" hidden="1" x14ac:dyDescent="0.55000000000000004">
      <c r="A17" s="2"/>
      <c r="B17" s="2"/>
      <c r="C17" s="2"/>
      <c r="D17" s="2"/>
      <c r="E17" s="2"/>
      <c r="F17" s="33"/>
      <c r="G17" s="33"/>
      <c r="H17" s="33"/>
      <c r="I17" s="33"/>
      <c r="J17" s="4"/>
      <c r="K17" s="25">
        <f>VLOOKUP($C$3,Q8:BF13,33,0)</f>
        <v>0</v>
      </c>
      <c r="L17" s="25">
        <f>VLOOKUP($C$3,Q8:BF13,34,0)</f>
        <v>0</v>
      </c>
      <c r="M17" s="28">
        <f>IF(K17=0,0,VLOOKUP($C$3,Q8:BF13,42,0))</f>
        <v>0</v>
      </c>
      <c r="N17" s="28">
        <f t="shared" si="0"/>
        <v>0</v>
      </c>
      <c r="O17" s="2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</row>
    <row r="18" spans="1:66" ht="22.5" hidden="1" x14ac:dyDescent="0.55000000000000004">
      <c r="A18" s="2"/>
      <c r="B18" s="69" t="s">
        <v>38</v>
      </c>
      <c r="C18" s="69"/>
      <c r="D18" s="69"/>
      <c r="E18" s="69"/>
      <c r="F18" s="71" t="s">
        <v>12</v>
      </c>
      <c r="G18" s="72"/>
      <c r="H18" s="73"/>
      <c r="I18" s="6" t="s">
        <v>9</v>
      </c>
      <c r="J18" s="16"/>
      <c r="K18" s="71" t="s">
        <v>14</v>
      </c>
      <c r="L18" s="72"/>
      <c r="M18" s="73"/>
      <c r="N18" s="6" t="s">
        <v>9</v>
      </c>
      <c r="O18" s="2"/>
      <c r="P18" s="45">
        <v>15</v>
      </c>
      <c r="Q18" s="60" t="s">
        <v>20</v>
      </c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</row>
    <row r="19" spans="1:66" hidden="1" x14ac:dyDescent="0.55000000000000004">
      <c r="A19" s="2"/>
      <c r="B19" s="70" t="s">
        <v>26</v>
      </c>
      <c r="C19" s="70"/>
      <c r="D19" s="70"/>
      <c r="E19" s="70"/>
      <c r="F19" s="74"/>
      <c r="G19" s="75"/>
      <c r="H19" s="76"/>
      <c r="I19" s="17">
        <f>VLOOKUP($B$21,$Q$20:$AC$25,13,0)</f>
        <v>1054</v>
      </c>
      <c r="J19" s="4"/>
      <c r="K19" s="74"/>
      <c r="L19" s="75"/>
      <c r="M19" s="76"/>
      <c r="N19" s="17">
        <f>VLOOKUP($B$21,Q20:BI25,37,0)</f>
        <v>650</v>
      </c>
      <c r="O19" s="2"/>
      <c r="P19" s="45">
        <v>16</v>
      </c>
      <c r="Q19"/>
      <c r="R19"/>
      <c r="S19"/>
      <c r="T19"/>
      <c r="U19"/>
      <c r="V19"/>
      <c r="W19"/>
      <c r="X19"/>
      <c r="Y19"/>
      <c r="Z19"/>
      <c r="AA19"/>
      <c r="AB19"/>
      <c r="AC19" t="s">
        <v>5</v>
      </c>
      <c r="AD19"/>
      <c r="AE19"/>
      <c r="AF19"/>
      <c r="AG19"/>
      <c r="AH19"/>
      <c r="AK19" t="s">
        <v>13</v>
      </c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</row>
    <row r="20" spans="1:66" hidden="1" x14ac:dyDescent="0.55000000000000004">
      <c r="A20" s="16"/>
      <c r="B20" s="6"/>
      <c r="C20" s="6" t="s">
        <v>4</v>
      </c>
      <c r="D20" s="19" t="str">
        <f>C5</f>
        <v>下水道（有）</v>
      </c>
      <c r="E20" s="6" t="s">
        <v>11</v>
      </c>
      <c r="F20" s="21" t="s">
        <v>0</v>
      </c>
      <c r="G20" s="21" t="s">
        <v>1</v>
      </c>
      <c r="H20" s="21" t="s">
        <v>2</v>
      </c>
      <c r="I20" s="21" t="s">
        <v>10</v>
      </c>
      <c r="J20" s="22"/>
      <c r="K20" s="21" t="s">
        <v>0</v>
      </c>
      <c r="L20" s="21" t="s">
        <v>1</v>
      </c>
      <c r="M20" s="21" t="s">
        <v>2</v>
      </c>
      <c r="N20" s="21" t="s">
        <v>10</v>
      </c>
      <c r="O20" s="2"/>
      <c r="P20" s="45">
        <v>17</v>
      </c>
      <c r="Q20" t="s">
        <v>34</v>
      </c>
      <c r="R20" t="s">
        <v>7</v>
      </c>
      <c r="S20">
        <v>1</v>
      </c>
      <c r="T20">
        <v>8</v>
      </c>
      <c r="U20">
        <v>9</v>
      </c>
      <c r="V20">
        <v>20</v>
      </c>
      <c r="W20">
        <v>21</v>
      </c>
      <c r="X20">
        <v>100</v>
      </c>
      <c r="Y20">
        <v>101</v>
      </c>
      <c r="Z20">
        <v>300</v>
      </c>
      <c r="AA20">
        <v>301</v>
      </c>
      <c r="AB20">
        <v>99999</v>
      </c>
      <c r="AC20" s="1">
        <v>1054</v>
      </c>
      <c r="AD20" s="1">
        <v>205</v>
      </c>
      <c r="AE20" s="1">
        <v>228</v>
      </c>
      <c r="AF20" s="1">
        <v>260</v>
      </c>
      <c r="AG20" s="1">
        <v>287</v>
      </c>
      <c r="AH20" s="1"/>
      <c r="AK20">
        <v>1</v>
      </c>
      <c r="AL20">
        <v>10</v>
      </c>
      <c r="AM20">
        <v>11</v>
      </c>
      <c r="AN20">
        <v>30</v>
      </c>
      <c r="AO20">
        <v>31</v>
      </c>
      <c r="AP20">
        <v>50</v>
      </c>
      <c r="AQ20">
        <v>51</v>
      </c>
      <c r="AR20">
        <v>100</v>
      </c>
      <c r="AS20">
        <v>101</v>
      </c>
      <c r="AT20">
        <v>300</v>
      </c>
      <c r="AU20">
        <v>301</v>
      </c>
      <c r="AV20">
        <v>99999</v>
      </c>
      <c r="AW20"/>
      <c r="AX20"/>
      <c r="AY20"/>
      <c r="AZ20"/>
      <c r="BA20" s="1">
        <v>650</v>
      </c>
      <c r="BB20" s="1">
        <v>95</v>
      </c>
      <c r="BC20" s="1">
        <v>110</v>
      </c>
      <c r="BD20" s="1">
        <v>130</v>
      </c>
      <c r="BE20" s="1">
        <v>155</v>
      </c>
      <c r="BF20" s="1">
        <v>175</v>
      </c>
      <c r="BG20" s="1"/>
      <c r="BH20" s="1"/>
      <c r="BI20"/>
      <c r="BJ20"/>
      <c r="BK20"/>
      <c r="BL20"/>
      <c r="BM20"/>
      <c r="BN20"/>
    </row>
    <row r="21" spans="1:66" hidden="1" x14ac:dyDescent="0.55000000000000004">
      <c r="A21" s="2"/>
      <c r="B21" s="34" t="str">
        <f>C3</f>
        <v>家庭用</v>
      </c>
      <c r="C21" s="24">
        <f>IF(OR(計算表!C3="臨時用",計算表!C3="船舶用"),ROUNDDOWN(($C$4*VLOOKUP(C3,$Q$20:$AH$25,18,0)),0),ROUNDDOWN((IF(C4="","",SUM($I$19,I22:I25))),0))</f>
        <v>1054</v>
      </c>
      <c r="D21" s="24">
        <f>IF(D20="下水道（有）",ROUNDDOWN((IF(C4="","",SUM($N$19,N22:N28))),0),0)</f>
        <v>650</v>
      </c>
      <c r="E21" s="24">
        <f>SUM(C21:D21)</f>
        <v>1704</v>
      </c>
      <c r="F21" s="25">
        <f>VLOOKUP($B$21,$Q$20:$T$25,3,0)</f>
        <v>1</v>
      </c>
      <c r="G21" s="25">
        <f>VLOOKUP($B$21,$Q$20:$T$25,4,0)</f>
        <v>8</v>
      </c>
      <c r="H21" s="26" t="s">
        <v>28</v>
      </c>
      <c r="I21" s="26" t="s">
        <v>28</v>
      </c>
      <c r="J21" s="4"/>
      <c r="K21" s="25">
        <f>VLOOKUP($C$3,Q20:BF25,21,0)</f>
        <v>1</v>
      </c>
      <c r="L21" s="25">
        <f>VLOOKUP($C$3,Q20:BF25,22,0)</f>
        <v>10</v>
      </c>
      <c r="M21" s="26" t="s">
        <v>48</v>
      </c>
      <c r="N21" s="26" t="s">
        <v>48</v>
      </c>
      <c r="O21" s="16"/>
      <c r="P21" s="45">
        <v>18</v>
      </c>
      <c r="Q21" t="s">
        <v>30</v>
      </c>
      <c r="R21" t="s">
        <v>8</v>
      </c>
      <c r="S21">
        <v>1</v>
      </c>
      <c r="T21">
        <v>10</v>
      </c>
      <c r="U21">
        <v>11</v>
      </c>
      <c r="V21">
        <v>30</v>
      </c>
      <c r="W21">
        <v>31</v>
      </c>
      <c r="X21">
        <v>100</v>
      </c>
      <c r="Y21">
        <v>101</v>
      </c>
      <c r="Z21">
        <v>300</v>
      </c>
      <c r="AA21">
        <v>301</v>
      </c>
      <c r="AB21">
        <v>99999</v>
      </c>
      <c r="AC21" s="1">
        <v>1687</v>
      </c>
      <c r="AD21" s="1">
        <v>228</v>
      </c>
      <c r="AE21" s="1">
        <v>260</v>
      </c>
      <c r="AF21" s="1">
        <v>287</v>
      </c>
      <c r="AG21" s="1">
        <v>308</v>
      </c>
      <c r="AH21" s="1"/>
      <c r="AK21">
        <v>1</v>
      </c>
      <c r="AL21">
        <v>10</v>
      </c>
      <c r="AM21">
        <v>11</v>
      </c>
      <c r="AN21">
        <v>30</v>
      </c>
      <c r="AO21">
        <v>31</v>
      </c>
      <c r="AP21">
        <v>50</v>
      </c>
      <c r="AQ21">
        <v>51</v>
      </c>
      <c r="AR21">
        <v>100</v>
      </c>
      <c r="AS21">
        <v>101</v>
      </c>
      <c r="AT21">
        <v>300</v>
      </c>
      <c r="AU21">
        <v>301</v>
      </c>
      <c r="AV21">
        <v>500</v>
      </c>
      <c r="AW21">
        <v>501</v>
      </c>
      <c r="AX21">
        <v>1000</v>
      </c>
      <c r="AY21">
        <v>1001</v>
      </c>
      <c r="AZ21">
        <v>99999</v>
      </c>
      <c r="BA21" s="1">
        <v>900</v>
      </c>
      <c r="BB21" s="1">
        <v>120</v>
      </c>
      <c r="BC21" s="1">
        <v>140</v>
      </c>
      <c r="BD21" s="1">
        <v>145</v>
      </c>
      <c r="BE21" s="1">
        <v>160</v>
      </c>
      <c r="BF21" s="1">
        <v>180</v>
      </c>
      <c r="BG21" s="1">
        <v>185</v>
      </c>
      <c r="BH21" s="1">
        <v>188</v>
      </c>
      <c r="BI21"/>
      <c r="BJ21"/>
      <c r="BK21"/>
      <c r="BL21"/>
      <c r="BM21"/>
      <c r="BN21"/>
    </row>
    <row r="22" spans="1:66" s="35" customFormat="1" hidden="1" x14ac:dyDescent="0.55000000000000004">
      <c r="A22" s="16"/>
      <c r="B22" s="6" t="s">
        <v>23</v>
      </c>
      <c r="C22" s="27">
        <f>IF(C3="基地用",0,ROUNDDOWN(C21*0.1,0))</f>
        <v>105</v>
      </c>
      <c r="D22" s="27">
        <f>IF(B21="基地用",0,ROUNDDOWN(D21*0.1,0))</f>
        <v>65</v>
      </c>
      <c r="E22" s="27">
        <f>SUM(C22:D22)</f>
        <v>170</v>
      </c>
      <c r="F22" s="25">
        <f>VLOOKUP($B$21,$Q$20:$U$25,5,0)</f>
        <v>9</v>
      </c>
      <c r="G22" s="25">
        <f>VLOOKUP(B$21,$Q20:$V25,6,0)</f>
        <v>20</v>
      </c>
      <c r="H22" s="28">
        <f>VLOOKUP($B$21,$Q$20:$AD$25,14,0)</f>
        <v>205</v>
      </c>
      <c r="I22" s="28">
        <f>MAX((MIN(G22,$C$4)-F22+1)*H22,0)</f>
        <v>0</v>
      </c>
      <c r="J22" s="29"/>
      <c r="K22" s="25">
        <f>VLOOKUP($C$3,Q20:BF25,23,0)</f>
        <v>11</v>
      </c>
      <c r="L22" s="25">
        <f>VLOOKUP($C$3,Q20:BF25,24,0)</f>
        <v>30</v>
      </c>
      <c r="M22" s="28">
        <f>VLOOKUP($C$3,Q19:BF25,38,0)</f>
        <v>95</v>
      </c>
      <c r="N22" s="28">
        <f>MAX((MIN(L22,$C$4)-K22+1)*M22,0)</f>
        <v>0</v>
      </c>
      <c r="O22" s="2"/>
      <c r="P22" s="45">
        <v>19</v>
      </c>
      <c r="Q22" t="s">
        <v>31</v>
      </c>
      <c r="R22" t="s">
        <v>8</v>
      </c>
      <c r="S22">
        <v>1</v>
      </c>
      <c r="T22">
        <v>10</v>
      </c>
      <c r="U22">
        <v>11</v>
      </c>
      <c r="V22">
        <v>100</v>
      </c>
      <c r="W22">
        <v>101</v>
      </c>
      <c r="X22">
        <v>300</v>
      </c>
      <c r="Y22">
        <v>301</v>
      </c>
      <c r="Z22">
        <v>500</v>
      </c>
      <c r="AA22">
        <v>501</v>
      </c>
      <c r="AB22">
        <v>99999</v>
      </c>
      <c r="AC22" s="1">
        <v>1908</v>
      </c>
      <c r="AD22" s="1">
        <v>260</v>
      </c>
      <c r="AE22" s="1">
        <v>287</v>
      </c>
      <c r="AF22" s="1">
        <v>308</v>
      </c>
      <c r="AG22" s="1">
        <v>341</v>
      </c>
      <c r="AH22" s="1"/>
      <c r="AK22">
        <v>1</v>
      </c>
      <c r="AL22">
        <v>10</v>
      </c>
      <c r="AM22">
        <v>11</v>
      </c>
      <c r="AN22">
        <v>30</v>
      </c>
      <c r="AO22">
        <v>31</v>
      </c>
      <c r="AP22">
        <v>50</v>
      </c>
      <c r="AQ22">
        <v>51</v>
      </c>
      <c r="AR22">
        <v>100</v>
      </c>
      <c r="AS22">
        <v>101</v>
      </c>
      <c r="AT22">
        <v>300</v>
      </c>
      <c r="AU22">
        <v>301</v>
      </c>
      <c r="AV22">
        <v>500</v>
      </c>
      <c r="AW22">
        <v>501</v>
      </c>
      <c r="AX22">
        <v>1000</v>
      </c>
      <c r="AY22">
        <v>1001</v>
      </c>
      <c r="AZ22">
        <v>99999</v>
      </c>
      <c r="BA22" s="1">
        <v>900</v>
      </c>
      <c r="BB22" s="1">
        <v>120</v>
      </c>
      <c r="BC22" s="1">
        <v>140</v>
      </c>
      <c r="BD22" s="1">
        <v>145</v>
      </c>
      <c r="BE22" s="1">
        <v>160</v>
      </c>
      <c r="BF22" s="1">
        <v>180</v>
      </c>
      <c r="BG22" s="1">
        <v>185</v>
      </c>
      <c r="BH22" s="1">
        <v>188</v>
      </c>
      <c r="BI22"/>
      <c r="BJ22"/>
      <c r="BK22"/>
      <c r="BL22"/>
      <c r="BM22"/>
      <c r="BN22"/>
    </row>
    <row r="23" spans="1:66" hidden="1" x14ac:dyDescent="0.55000000000000004">
      <c r="A23" s="2"/>
      <c r="B23" s="30" t="s">
        <v>24</v>
      </c>
      <c r="C23" s="31">
        <f>SUM(C21:C22)</f>
        <v>1159</v>
      </c>
      <c r="D23" s="31">
        <f>SUM(D21:D22)</f>
        <v>715</v>
      </c>
      <c r="E23" s="31">
        <f>SUM(E21:E22)</f>
        <v>1874</v>
      </c>
      <c r="F23" s="25">
        <f>VLOOKUP($B$21,$Q$20:$W$25,7,0)</f>
        <v>21</v>
      </c>
      <c r="G23" s="25">
        <f>VLOOKUP($B$21,$Q$20:$X$25,8,0)</f>
        <v>100</v>
      </c>
      <c r="H23" s="28">
        <f>VLOOKUP($B$21,$Q$20:$AE$25,15,0)</f>
        <v>228</v>
      </c>
      <c r="I23" s="28">
        <f>MAX((MIN(G23,$C$4)-F23+1)*H23,0)</f>
        <v>0</v>
      </c>
      <c r="J23" s="4"/>
      <c r="K23" s="25">
        <f>VLOOKUP($C$3,Q20:BF25,25,0)</f>
        <v>31</v>
      </c>
      <c r="L23" s="25">
        <f>VLOOKUP($C$3,Q20:BF25,26,0)</f>
        <v>50</v>
      </c>
      <c r="M23" s="28">
        <f>VLOOKUP($C$3,Q20:BF25,39,0)</f>
        <v>110</v>
      </c>
      <c r="N23" s="28">
        <f>MAX((MIN(L23,$C$4)-K23+1)*M23,0)</f>
        <v>0</v>
      </c>
      <c r="O23" s="16"/>
      <c r="P23" s="45">
        <v>20</v>
      </c>
      <c r="Q23" t="s">
        <v>32</v>
      </c>
      <c r="R23"/>
      <c r="S23"/>
      <c r="T23"/>
      <c r="U23"/>
      <c r="V23"/>
      <c r="W23"/>
      <c r="X23"/>
      <c r="Y23"/>
      <c r="Z23"/>
      <c r="AA23"/>
      <c r="AB23"/>
      <c r="AC23" s="1"/>
      <c r="AD23" s="1"/>
      <c r="AE23" s="1"/>
      <c r="AF23" s="1"/>
      <c r="AG23" s="1"/>
      <c r="AH23" s="1">
        <v>548</v>
      </c>
      <c r="AK23">
        <v>1</v>
      </c>
      <c r="AL23">
        <v>10</v>
      </c>
      <c r="AM23">
        <v>11</v>
      </c>
      <c r="AN23">
        <v>30</v>
      </c>
      <c r="AO23">
        <v>31</v>
      </c>
      <c r="AP23">
        <v>50</v>
      </c>
      <c r="AQ23">
        <v>51</v>
      </c>
      <c r="AR23">
        <v>100</v>
      </c>
      <c r="AS23">
        <v>101</v>
      </c>
      <c r="AT23">
        <v>300</v>
      </c>
      <c r="AU23">
        <v>301</v>
      </c>
      <c r="AV23">
        <v>500</v>
      </c>
      <c r="AW23">
        <v>501</v>
      </c>
      <c r="AX23">
        <v>1000</v>
      </c>
      <c r="AY23">
        <v>1001</v>
      </c>
      <c r="AZ23">
        <v>99999</v>
      </c>
      <c r="BA23" s="1">
        <v>900</v>
      </c>
      <c r="BB23" s="1">
        <v>120</v>
      </c>
      <c r="BC23" s="1">
        <v>140</v>
      </c>
      <c r="BD23" s="1">
        <v>145</v>
      </c>
      <c r="BE23" s="1">
        <v>160</v>
      </c>
      <c r="BF23" s="1">
        <v>180</v>
      </c>
      <c r="BG23" s="1">
        <v>185</v>
      </c>
      <c r="BH23" s="1">
        <v>188</v>
      </c>
      <c r="BI23"/>
      <c r="BJ23"/>
      <c r="BK23"/>
      <c r="BL23"/>
      <c r="BM23"/>
      <c r="BN23"/>
    </row>
    <row r="24" spans="1:66" s="35" customFormat="1" hidden="1" x14ac:dyDescent="0.55000000000000004">
      <c r="A24" s="16"/>
      <c r="B24" s="83"/>
      <c r="C24" s="83"/>
      <c r="D24" s="83"/>
      <c r="E24" s="83"/>
      <c r="F24" s="25">
        <f>VLOOKUP($B$21,$Q$20:$Y$25,9,0)</f>
        <v>101</v>
      </c>
      <c r="G24" s="25">
        <f>VLOOKUP($B$21,$Q$20:$Z$25,10,0)</f>
        <v>300</v>
      </c>
      <c r="H24" s="28">
        <f>VLOOKUP($B$21,$Q$20:$AF$25,16,0)</f>
        <v>260</v>
      </c>
      <c r="I24" s="28">
        <f>MAX((MIN(G24,$C$4)-F24+1)*H24,0)</f>
        <v>0</v>
      </c>
      <c r="J24" s="4"/>
      <c r="K24" s="25">
        <f>VLOOKUP($C$3,Q20:BF25,27,0)</f>
        <v>51</v>
      </c>
      <c r="L24" s="25">
        <f>VLOOKUP($C$3,Q20:BF25,28,0)</f>
        <v>100</v>
      </c>
      <c r="M24" s="28">
        <f>VLOOKUP($C$3,Q20:BF25,40,0)</f>
        <v>130</v>
      </c>
      <c r="N24" s="28">
        <f>MAX((MIN(L24,$C$4)-K24+1)*M24,0)</f>
        <v>0</v>
      </c>
      <c r="O24" s="2"/>
      <c r="P24" s="45">
        <v>21</v>
      </c>
      <c r="Q24" t="s">
        <v>6</v>
      </c>
      <c r="R24" t="s">
        <v>8</v>
      </c>
      <c r="S24">
        <v>1</v>
      </c>
      <c r="T24">
        <v>10</v>
      </c>
      <c r="U24">
        <v>11</v>
      </c>
      <c r="V24">
        <v>100</v>
      </c>
      <c r="W24">
        <v>101</v>
      </c>
      <c r="X24">
        <v>300</v>
      </c>
      <c r="Y24">
        <v>301</v>
      </c>
      <c r="Z24">
        <v>500</v>
      </c>
      <c r="AA24">
        <v>501</v>
      </c>
      <c r="AB24">
        <v>99999</v>
      </c>
      <c r="AC24" s="1">
        <v>1965</v>
      </c>
      <c r="AD24" s="1">
        <v>267</v>
      </c>
      <c r="AE24" s="1">
        <v>295</v>
      </c>
      <c r="AF24" s="1">
        <v>318</v>
      </c>
      <c r="AG24" s="1">
        <v>351</v>
      </c>
      <c r="AH24" s="1"/>
      <c r="AK24">
        <v>1</v>
      </c>
      <c r="AL24">
        <v>10</v>
      </c>
      <c r="AM24">
        <v>11</v>
      </c>
      <c r="AN24">
        <v>30</v>
      </c>
      <c r="AO24">
        <v>31</v>
      </c>
      <c r="AP24">
        <v>50</v>
      </c>
      <c r="AQ24">
        <v>51</v>
      </c>
      <c r="AR24">
        <v>100</v>
      </c>
      <c r="AS24">
        <v>101</v>
      </c>
      <c r="AT24">
        <v>300</v>
      </c>
      <c r="AU24">
        <v>301</v>
      </c>
      <c r="AV24">
        <v>500</v>
      </c>
      <c r="AW24">
        <v>501</v>
      </c>
      <c r="AX24">
        <v>1000</v>
      </c>
      <c r="AY24">
        <v>1001</v>
      </c>
      <c r="AZ24">
        <v>99999</v>
      </c>
      <c r="BA24" s="1">
        <v>900</v>
      </c>
      <c r="BB24" s="1">
        <v>120</v>
      </c>
      <c r="BC24" s="1">
        <v>140</v>
      </c>
      <c r="BD24" s="1">
        <v>145</v>
      </c>
      <c r="BE24" s="1">
        <v>160</v>
      </c>
      <c r="BF24" s="1">
        <v>180</v>
      </c>
      <c r="BG24" s="1">
        <v>185</v>
      </c>
      <c r="BH24" s="1">
        <v>188</v>
      </c>
      <c r="BI24"/>
      <c r="BJ24"/>
      <c r="BK24"/>
      <c r="BL24"/>
      <c r="BM24"/>
      <c r="BN24"/>
    </row>
    <row r="25" spans="1:66" hidden="1" x14ac:dyDescent="0.55000000000000004">
      <c r="A25" s="2"/>
      <c r="B25" s="41"/>
      <c r="C25" s="41"/>
      <c r="D25" s="41"/>
      <c r="E25" s="41"/>
      <c r="F25" s="25">
        <f>VLOOKUP($B$21,$Q$20:$AA$25,11,0)</f>
        <v>301</v>
      </c>
      <c r="G25" s="25">
        <f>VLOOKUP($B$21,$Q$20:$AB$25,12,0)</f>
        <v>99999</v>
      </c>
      <c r="H25" s="28">
        <f>VLOOKUP($B$21,$Q$20:$AG$25,17,0)</f>
        <v>287</v>
      </c>
      <c r="I25" s="28">
        <f>MAX((MIN(G25,$C$4)-F25+1)*H25,0)</f>
        <v>0</v>
      </c>
      <c r="J25" s="4"/>
      <c r="K25" s="25">
        <f>VLOOKUP($C$3,Q20:BF25,29,0)</f>
        <v>101</v>
      </c>
      <c r="L25" s="25">
        <f>VLOOKUP($C$3,Q20:BF25,30,0)</f>
        <v>300</v>
      </c>
      <c r="M25" s="28">
        <f>VLOOKUP($C$3,Q20:BF25,41,0)</f>
        <v>155</v>
      </c>
      <c r="N25" s="28">
        <f t="shared" ref="N25" si="1">MAX((MIN(L25,$C$4)-K25+1)*M25,0)</f>
        <v>0</v>
      </c>
      <c r="O25" s="2"/>
      <c r="P25" s="45">
        <v>22</v>
      </c>
      <c r="Q25" t="s">
        <v>33</v>
      </c>
      <c r="R25"/>
      <c r="S25"/>
      <c r="T25"/>
      <c r="U25"/>
      <c r="V25"/>
      <c r="W25"/>
      <c r="X25"/>
      <c r="Y25"/>
      <c r="Z25"/>
      <c r="AA25"/>
      <c r="AB25"/>
      <c r="AC25" s="1"/>
      <c r="AD25" s="1"/>
      <c r="AE25" s="1"/>
      <c r="AF25" s="1"/>
      <c r="AG25" s="1"/>
      <c r="AH25" s="1">
        <v>380</v>
      </c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 t="s">
        <v>21</v>
      </c>
      <c r="BB25"/>
      <c r="BC25"/>
      <c r="BD25"/>
      <c r="BE25"/>
      <c r="BF25"/>
      <c r="BG25"/>
      <c r="BH25"/>
      <c r="BI25"/>
      <c r="BJ25"/>
      <c r="BK25"/>
      <c r="BL25"/>
      <c r="BM25"/>
      <c r="BN25"/>
    </row>
    <row r="26" spans="1:66" hidden="1" x14ac:dyDescent="0.55000000000000004">
      <c r="A26" s="2"/>
      <c r="B26" s="41"/>
      <c r="C26" s="41"/>
      <c r="D26" s="41"/>
      <c r="E26" s="41"/>
      <c r="F26" s="97" t="str">
        <f>IF(B21="船舶用","※1m3につき　380円",IF(B21="臨時用","※1m3につき 548円（税抜）",""))</f>
        <v/>
      </c>
      <c r="G26" s="97"/>
      <c r="H26" s="97"/>
      <c r="I26" s="97"/>
      <c r="J26" s="4"/>
      <c r="K26" s="25">
        <f>VLOOKUP($C$3,Q20:BF25,31,0)</f>
        <v>301</v>
      </c>
      <c r="L26" s="25">
        <f>VLOOKUP($C$3,Q20:BF25,32,0)</f>
        <v>99999</v>
      </c>
      <c r="M26" s="28">
        <f>IF(K26=0,0,VLOOKUP($C$3,Q20:BF25,42,0))</f>
        <v>175</v>
      </c>
      <c r="N26" s="28">
        <f>MAX((MIN(L26,$C$4)-K26+1)*M26,0)</f>
        <v>0</v>
      </c>
      <c r="O26" s="2"/>
      <c r="P26" s="45">
        <v>23</v>
      </c>
      <c r="Q26">
        <v>1</v>
      </c>
      <c r="R26">
        <v>2</v>
      </c>
      <c r="S26">
        <v>3</v>
      </c>
      <c r="T26">
        <v>4</v>
      </c>
      <c r="U26">
        <v>5</v>
      </c>
      <c r="V26">
        <v>6</v>
      </c>
      <c r="W26">
        <v>7</v>
      </c>
      <c r="X26">
        <v>8</v>
      </c>
      <c r="Y26">
        <v>9</v>
      </c>
      <c r="Z26">
        <v>10</v>
      </c>
      <c r="AA26">
        <v>11</v>
      </c>
      <c r="AB26">
        <v>12</v>
      </c>
      <c r="AC26">
        <v>13</v>
      </c>
      <c r="AD26">
        <v>14</v>
      </c>
      <c r="AE26">
        <v>15</v>
      </c>
      <c r="AF26">
        <v>16</v>
      </c>
      <c r="AG26">
        <v>17</v>
      </c>
      <c r="AH26">
        <v>18</v>
      </c>
      <c r="AI26">
        <v>19</v>
      </c>
      <c r="AJ26">
        <v>20</v>
      </c>
      <c r="AK26">
        <v>21</v>
      </c>
      <c r="AL26">
        <v>22</v>
      </c>
      <c r="AM26">
        <v>23</v>
      </c>
      <c r="AN26">
        <v>24</v>
      </c>
      <c r="AO26">
        <v>25</v>
      </c>
      <c r="AP26">
        <v>26</v>
      </c>
      <c r="AQ26">
        <v>27</v>
      </c>
      <c r="AR26">
        <v>28</v>
      </c>
      <c r="AS26">
        <v>29</v>
      </c>
      <c r="AT26">
        <v>30</v>
      </c>
      <c r="AU26">
        <v>31</v>
      </c>
      <c r="AV26">
        <v>32</v>
      </c>
      <c r="AW26">
        <v>33</v>
      </c>
      <c r="AX26">
        <v>34</v>
      </c>
      <c r="AY26">
        <v>35</v>
      </c>
      <c r="AZ26">
        <v>36</v>
      </c>
      <c r="BA26">
        <v>37</v>
      </c>
      <c r="BB26">
        <v>38</v>
      </c>
      <c r="BC26">
        <v>39</v>
      </c>
      <c r="BD26">
        <v>40</v>
      </c>
      <c r="BE26">
        <v>41</v>
      </c>
      <c r="BF26">
        <v>42</v>
      </c>
      <c r="BG26">
        <v>43</v>
      </c>
      <c r="BH26">
        <v>44</v>
      </c>
      <c r="BI26">
        <v>45</v>
      </c>
      <c r="BJ26"/>
      <c r="BK26"/>
      <c r="BL26"/>
      <c r="BM26"/>
      <c r="BN26"/>
    </row>
    <row r="27" spans="1:66" hidden="1" x14ac:dyDescent="0.55000000000000004">
      <c r="A27" s="2"/>
      <c r="B27" s="41"/>
      <c r="C27" s="41"/>
      <c r="D27" s="41"/>
      <c r="E27" s="41"/>
      <c r="F27" s="61"/>
      <c r="G27" s="61"/>
      <c r="H27" s="62"/>
      <c r="I27" s="62"/>
      <c r="J27" s="4"/>
      <c r="K27" s="25">
        <f>VLOOKUP($C$3,Q20:BF25,33,0)</f>
        <v>0</v>
      </c>
      <c r="L27" s="25">
        <f>VLOOKUP($C$3,Q20:BF25,34,0)</f>
        <v>0</v>
      </c>
      <c r="M27" s="28">
        <f>IF(K27=0,0,VLOOKUP($C$3,Q20:BH25,43,0))</f>
        <v>0</v>
      </c>
      <c r="N27" s="28">
        <f t="shared" ref="N27:N28" si="2">MAX((MIN(L27,$C$4)-K27+1)*M27,0)</f>
        <v>0</v>
      </c>
      <c r="O27" s="2"/>
      <c r="P27" s="45">
        <v>24</v>
      </c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</row>
    <row r="28" spans="1:66" hidden="1" x14ac:dyDescent="0.55000000000000004">
      <c r="A28" s="2"/>
      <c r="B28" s="41"/>
      <c r="C28" s="41"/>
      <c r="D28" s="41"/>
      <c r="E28" s="41"/>
      <c r="F28" s="61"/>
      <c r="G28" s="61"/>
      <c r="H28" s="62"/>
      <c r="I28" s="63"/>
      <c r="J28" s="4"/>
      <c r="K28" s="25">
        <f>VLOOKUP($C$3,Q20:BF25,35,0)</f>
        <v>0</v>
      </c>
      <c r="L28" s="25">
        <f>VLOOKUP($C$3,Q20:BF25,36,0)</f>
        <v>0</v>
      </c>
      <c r="M28" s="28">
        <f>IF(K28=0,0,VLOOKUP($C$3,Q20:BH25,44,0))</f>
        <v>0</v>
      </c>
      <c r="N28" s="28">
        <f t="shared" si="2"/>
        <v>0</v>
      </c>
      <c r="O28" s="2"/>
      <c r="P28" s="45">
        <v>25</v>
      </c>
      <c r="Q28" s="60" t="s">
        <v>19</v>
      </c>
      <c r="R28"/>
      <c r="S28"/>
      <c r="T28"/>
      <c r="U28"/>
      <c r="V28"/>
      <c r="W28"/>
      <c r="X28"/>
      <c r="Y28"/>
      <c r="Z28"/>
      <c r="AA28"/>
      <c r="AB28"/>
      <c r="AC28" t="s">
        <v>5</v>
      </c>
      <c r="AD28"/>
      <c r="AE28"/>
      <c r="AF28"/>
      <c r="AG28"/>
      <c r="AH28"/>
      <c r="AI28" t="s">
        <v>42</v>
      </c>
      <c r="AJ28" t="s">
        <v>43</v>
      </c>
      <c r="AK28" t="s">
        <v>13</v>
      </c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</row>
    <row r="29" spans="1:66" x14ac:dyDescent="0.55000000000000004">
      <c r="A29" s="2"/>
      <c r="B29" s="42"/>
      <c r="C29" s="43"/>
      <c r="D29" s="43"/>
      <c r="E29" s="43"/>
      <c r="F29" s="4"/>
      <c r="G29" s="55"/>
      <c r="H29" s="55"/>
      <c r="I29" s="85" t="str">
        <f>IF(OR(C3="家庭用",C3="営業用",C3="官公署用",C3="基地用"),"減免前の基本料金","")</f>
        <v>減免前の基本料金</v>
      </c>
      <c r="J29" s="4"/>
      <c r="K29" s="71" t="s">
        <v>14</v>
      </c>
      <c r="L29" s="72"/>
      <c r="M29" s="73"/>
      <c r="N29" s="6" t="s">
        <v>9</v>
      </c>
      <c r="O29" s="2"/>
      <c r="P29" s="45">
        <v>26</v>
      </c>
      <c r="Q29" t="s">
        <v>34</v>
      </c>
      <c r="R29" t="s">
        <v>7</v>
      </c>
      <c r="S29">
        <v>1</v>
      </c>
      <c r="T29">
        <v>8</v>
      </c>
      <c r="U29">
        <v>9</v>
      </c>
      <c r="V29">
        <v>20</v>
      </c>
      <c r="W29">
        <v>21</v>
      </c>
      <c r="X29">
        <v>100</v>
      </c>
      <c r="Y29">
        <v>101</v>
      </c>
      <c r="Z29">
        <v>300</v>
      </c>
      <c r="AA29">
        <v>301</v>
      </c>
      <c r="AB29">
        <v>99999</v>
      </c>
      <c r="AC29" s="1">
        <v>1074</v>
      </c>
      <c r="AD29" s="1">
        <v>209</v>
      </c>
      <c r="AE29" s="1">
        <v>232</v>
      </c>
      <c r="AF29" s="1">
        <v>266</v>
      </c>
      <c r="AG29" s="1">
        <v>292</v>
      </c>
      <c r="AH29" s="1"/>
      <c r="AI29" s="1">
        <f>1074-125</f>
        <v>949</v>
      </c>
      <c r="AJ29">
        <f t="shared" ref="AJ29:AJ34" si="3">AI29-AC20</f>
        <v>-105</v>
      </c>
      <c r="AK29">
        <v>1</v>
      </c>
      <c r="AL29">
        <v>10</v>
      </c>
      <c r="AM29">
        <v>11</v>
      </c>
      <c r="AN29">
        <v>30</v>
      </c>
      <c r="AO29">
        <v>31</v>
      </c>
      <c r="AP29">
        <v>50</v>
      </c>
      <c r="AQ29">
        <v>51</v>
      </c>
      <c r="AR29">
        <v>100</v>
      </c>
      <c r="AS29">
        <v>101</v>
      </c>
      <c r="AT29">
        <v>300</v>
      </c>
      <c r="AU29">
        <v>301</v>
      </c>
      <c r="AV29">
        <v>99999</v>
      </c>
      <c r="AW29"/>
      <c r="AX29"/>
      <c r="AY29"/>
      <c r="AZ29"/>
      <c r="BA29" s="1">
        <v>650</v>
      </c>
      <c r="BB29" s="1">
        <v>95</v>
      </c>
      <c r="BC29" s="1">
        <v>110</v>
      </c>
      <c r="BD29" s="1">
        <v>130</v>
      </c>
      <c r="BE29" s="1">
        <v>155</v>
      </c>
      <c r="BF29" s="1">
        <v>175</v>
      </c>
      <c r="BG29" s="1"/>
      <c r="BH29" s="1"/>
      <c r="BI29"/>
      <c r="BJ29"/>
      <c r="BK29"/>
      <c r="BL29"/>
      <c r="BM29"/>
      <c r="BN29"/>
    </row>
    <row r="30" spans="1:66" x14ac:dyDescent="0.55000000000000004">
      <c r="A30" s="2"/>
      <c r="B30" s="93"/>
      <c r="C30" s="94"/>
      <c r="D30" s="94"/>
      <c r="E30" s="95"/>
      <c r="F30" s="36"/>
      <c r="G30" s="36"/>
      <c r="H30" s="54"/>
      <c r="I30" s="86"/>
      <c r="J30" s="4"/>
      <c r="K30" s="74"/>
      <c r="L30" s="75"/>
      <c r="M30" s="76"/>
      <c r="N30" s="17">
        <f>VLOOKUP($B$21,Q29:BI34,37,0)</f>
        <v>650</v>
      </c>
      <c r="O30" s="2"/>
      <c r="P30" s="45">
        <v>27</v>
      </c>
      <c r="Q30" t="s">
        <v>30</v>
      </c>
      <c r="R30" t="s">
        <v>8</v>
      </c>
      <c r="S30">
        <v>1</v>
      </c>
      <c r="T30">
        <v>10</v>
      </c>
      <c r="U30">
        <v>11</v>
      </c>
      <c r="V30">
        <v>30</v>
      </c>
      <c r="W30">
        <v>31</v>
      </c>
      <c r="X30">
        <v>100</v>
      </c>
      <c r="Y30">
        <v>101</v>
      </c>
      <c r="Z30">
        <v>300</v>
      </c>
      <c r="AA30">
        <v>301</v>
      </c>
      <c r="AB30">
        <v>99999</v>
      </c>
      <c r="AC30" s="1">
        <v>1720</v>
      </c>
      <c r="AD30" s="1">
        <v>232</v>
      </c>
      <c r="AE30" s="1">
        <v>266</v>
      </c>
      <c r="AF30" s="1">
        <v>292</v>
      </c>
      <c r="AG30" s="1">
        <v>314</v>
      </c>
      <c r="AH30" s="1"/>
      <c r="AI30" s="1">
        <f>1720-125</f>
        <v>1595</v>
      </c>
      <c r="AJ30">
        <f t="shared" si="3"/>
        <v>-92</v>
      </c>
      <c r="AK30">
        <v>1</v>
      </c>
      <c r="AL30">
        <v>10</v>
      </c>
      <c r="AM30">
        <v>11</v>
      </c>
      <c r="AN30">
        <v>30</v>
      </c>
      <c r="AO30">
        <v>31</v>
      </c>
      <c r="AP30">
        <v>50</v>
      </c>
      <c r="AQ30">
        <v>51</v>
      </c>
      <c r="AR30">
        <v>100</v>
      </c>
      <c r="AS30">
        <v>101</v>
      </c>
      <c r="AT30">
        <v>300</v>
      </c>
      <c r="AU30">
        <v>301</v>
      </c>
      <c r="AV30">
        <v>500</v>
      </c>
      <c r="AW30">
        <v>501</v>
      </c>
      <c r="AX30">
        <v>1000</v>
      </c>
      <c r="AY30">
        <v>1001</v>
      </c>
      <c r="AZ30">
        <v>99999</v>
      </c>
      <c r="BA30" s="1">
        <v>900</v>
      </c>
      <c r="BB30" s="1">
        <v>120</v>
      </c>
      <c r="BC30" s="1">
        <v>140</v>
      </c>
      <c r="BD30" s="1">
        <v>145</v>
      </c>
      <c r="BE30" s="1">
        <v>160</v>
      </c>
      <c r="BF30" s="1">
        <v>180</v>
      </c>
      <c r="BG30" s="1">
        <v>185</v>
      </c>
      <c r="BH30" s="1">
        <v>188</v>
      </c>
      <c r="BI30"/>
      <c r="BJ30"/>
      <c r="BK30"/>
      <c r="BL30"/>
      <c r="BM30"/>
      <c r="BN30"/>
    </row>
    <row r="31" spans="1:66" ht="26.5" x14ac:dyDescent="0.55000000000000004">
      <c r="A31" s="2"/>
      <c r="B31" s="84" t="str">
        <f>IF(OR(C3="船舶用",C3="臨時用"),"","基本料金から一律125円（税抜）減免")</f>
        <v>基本料金から一律125円（税抜）減免</v>
      </c>
      <c r="C31" s="84"/>
      <c r="D31" s="84"/>
      <c r="E31" s="84"/>
      <c r="F31" s="36"/>
      <c r="G31" s="4"/>
      <c r="H31" s="52"/>
      <c r="I31" s="56">
        <f>VLOOKUP($C$3,Q29:AC34,13,0)</f>
        <v>1074</v>
      </c>
      <c r="J31" s="4"/>
      <c r="K31" s="21" t="s">
        <v>0</v>
      </c>
      <c r="L31" s="21" t="s">
        <v>1</v>
      </c>
      <c r="M31" s="21" t="s">
        <v>2</v>
      </c>
      <c r="N31" s="21" t="s">
        <v>10</v>
      </c>
      <c r="O31" s="2"/>
      <c r="P31" s="45">
        <v>28</v>
      </c>
      <c r="Q31" t="s">
        <v>31</v>
      </c>
      <c r="R31" t="s">
        <v>8</v>
      </c>
      <c r="S31">
        <v>1</v>
      </c>
      <c r="T31">
        <v>10</v>
      </c>
      <c r="U31">
        <v>11</v>
      </c>
      <c r="V31">
        <v>100</v>
      </c>
      <c r="W31">
        <v>101</v>
      </c>
      <c r="X31">
        <v>300</v>
      </c>
      <c r="Y31">
        <v>301</v>
      </c>
      <c r="Z31">
        <v>500</v>
      </c>
      <c r="AA31">
        <v>501</v>
      </c>
      <c r="AB31">
        <v>99999</v>
      </c>
      <c r="AC31" s="1">
        <v>1945</v>
      </c>
      <c r="AD31" s="1">
        <v>266</v>
      </c>
      <c r="AE31" s="1">
        <v>292</v>
      </c>
      <c r="AF31" s="1">
        <v>314</v>
      </c>
      <c r="AG31" s="1">
        <v>347</v>
      </c>
      <c r="AH31" s="1"/>
      <c r="AI31" s="1">
        <f>1945-125</f>
        <v>1820</v>
      </c>
      <c r="AJ31">
        <f t="shared" si="3"/>
        <v>-88</v>
      </c>
      <c r="AK31">
        <v>1</v>
      </c>
      <c r="AL31">
        <v>10</v>
      </c>
      <c r="AM31">
        <v>11</v>
      </c>
      <c r="AN31">
        <v>30</v>
      </c>
      <c r="AO31">
        <v>31</v>
      </c>
      <c r="AP31">
        <v>50</v>
      </c>
      <c r="AQ31">
        <v>51</v>
      </c>
      <c r="AR31">
        <v>100</v>
      </c>
      <c r="AS31">
        <v>101</v>
      </c>
      <c r="AT31">
        <v>300</v>
      </c>
      <c r="AU31">
        <v>301</v>
      </c>
      <c r="AV31">
        <v>500</v>
      </c>
      <c r="AW31">
        <v>501</v>
      </c>
      <c r="AX31">
        <v>1000</v>
      </c>
      <c r="AY31">
        <v>1001</v>
      </c>
      <c r="AZ31">
        <v>99999</v>
      </c>
      <c r="BA31" s="1">
        <v>900</v>
      </c>
      <c r="BB31" s="1">
        <v>120</v>
      </c>
      <c r="BC31" s="1">
        <v>140</v>
      </c>
      <c r="BD31" s="1">
        <v>145</v>
      </c>
      <c r="BE31" s="1">
        <v>160</v>
      </c>
      <c r="BF31" s="1">
        <v>180</v>
      </c>
      <c r="BG31" s="1">
        <v>185</v>
      </c>
      <c r="BH31" s="1">
        <v>188</v>
      </c>
      <c r="BI31"/>
      <c r="BJ31"/>
      <c r="BK31"/>
      <c r="BL31"/>
      <c r="BM31"/>
      <c r="BN31"/>
    </row>
    <row r="32" spans="1:66" ht="22.5" x14ac:dyDescent="0.55000000000000004">
      <c r="A32" s="4"/>
      <c r="B32" s="69" t="s">
        <v>44</v>
      </c>
      <c r="C32" s="69"/>
      <c r="D32" s="69"/>
      <c r="E32" s="69"/>
      <c r="F32" s="71" t="s">
        <v>12</v>
      </c>
      <c r="G32" s="72"/>
      <c r="H32" s="73"/>
      <c r="I32" s="6" t="s">
        <v>9</v>
      </c>
      <c r="J32" s="4"/>
      <c r="K32" s="25">
        <f>VLOOKUP($C$3,Q29:BF34,21,0)</f>
        <v>1</v>
      </c>
      <c r="L32" s="25">
        <f>VLOOKUP($C$3,Q29:BF34,22,0)</f>
        <v>10</v>
      </c>
      <c r="M32" s="26" t="s">
        <v>41</v>
      </c>
      <c r="N32" s="26" t="s">
        <v>48</v>
      </c>
      <c r="O32" s="2"/>
      <c r="P32" s="45">
        <v>29</v>
      </c>
      <c r="Q32" t="s">
        <v>32</v>
      </c>
      <c r="R32"/>
      <c r="S32"/>
      <c r="T32"/>
      <c r="U32"/>
      <c r="V32"/>
      <c r="W32"/>
      <c r="X32"/>
      <c r="Y32"/>
      <c r="Z32"/>
      <c r="AA32"/>
      <c r="AB32"/>
      <c r="AC32" s="1"/>
      <c r="AD32" s="1"/>
      <c r="AE32" s="1"/>
      <c r="AF32" s="1"/>
      <c r="AG32" s="1"/>
      <c r="AH32" s="1">
        <v>559</v>
      </c>
      <c r="AI32" s="1">
        <v>0</v>
      </c>
      <c r="AJ32">
        <f t="shared" si="3"/>
        <v>0</v>
      </c>
      <c r="AK32">
        <v>1</v>
      </c>
      <c r="AL32">
        <v>10</v>
      </c>
      <c r="AM32">
        <v>11</v>
      </c>
      <c r="AN32">
        <v>30</v>
      </c>
      <c r="AO32">
        <v>31</v>
      </c>
      <c r="AP32">
        <v>50</v>
      </c>
      <c r="AQ32">
        <v>51</v>
      </c>
      <c r="AR32">
        <v>100</v>
      </c>
      <c r="AS32">
        <v>101</v>
      </c>
      <c r="AT32">
        <v>300</v>
      </c>
      <c r="AU32">
        <v>301</v>
      </c>
      <c r="AV32">
        <v>500</v>
      </c>
      <c r="AW32">
        <v>501</v>
      </c>
      <c r="AX32">
        <v>1000</v>
      </c>
      <c r="AY32">
        <v>1001</v>
      </c>
      <c r="AZ32">
        <v>99999</v>
      </c>
      <c r="BA32" s="1">
        <v>900</v>
      </c>
      <c r="BB32" s="1">
        <v>120</v>
      </c>
      <c r="BC32" s="1">
        <v>140</v>
      </c>
      <c r="BD32" s="1">
        <v>145</v>
      </c>
      <c r="BE32" s="1">
        <v>160</v>
      </c>
      <c r="BF32" s="1">
        <v>180</v>
      </c>
      <c r="BG32" s="1">
        <v>185</v>
      </c>
      <c r="BH32" s="1">
        <v>188</v>
      </c>
      <c r="BI32"/>
      <c r="BJ32"/>
      <c r="BK32"/>
      <c r="BL32"/>
      <c r="BM32"/>
      <c r="BN32"/>
    </row>
    <row r="33" spans="1:66" x14ac:dyDescent="0.55000000000000004">
      <c r="A33" s="4"/>
      <c r="B33" s="77" t="s">
        <v>26</v>
      </c>
      <c r="C33" s="78"/>
      <c r="D33" s="78"/>
      <c r="E33" s="79"/>
      <c r="F33" s="74"/>
      <c r="G33" s="75"/>
      <c r="H33" s="76"/>
      <c r="I33" s="17">
        <f>VLOOKUP($B$21,$Q$29:$AI$34,19,0)</f>
        <v>949</v>
      </c>
      <c r="J33" s="4"/>
      <c r="K33" s="25">
        <f>VLOOKUP($C$3,Q29:BF34,23,0)</f>
        <v>11</v>
      </c>
      <c r="L33" s="25">
        <f>VLOOKUP($C$3,Q29:BF34,24,0)</f>
        <v>30</v>
      </c>
      <c r="M33" s="28">
        <f>VLOOKUP($C$3,Q29:BF35,38,0)</f>
        <v>95</v>
      </c>
      <c r="N33" s="28">
        <f>MAX((MIN(L33,$C$4)-K33+1)*M33,0)</f>
        <v>0</v>
      </c>
      <c r="O33" s="2"/>
      <c r="P33" s="45">
        <v>30</v>
      </c>
      <c r="Q33" t="s">
        <v>6</v>
      </c>
      <c r="R33" t="s">
        <v>8</v>
      </c>
      <c r="S33">
        <v>1</v>
      </c>
      <c r="T33">
        <v>10</v>
      </c>
      <c r="U33">
        <v>11</v>
      </c>
      <c r="V33">
        <v>100</v>
      </c>
      <c r="W33">
        <v>101</v>
      </c>
      <c r="X33">
        <v>300</v>
      </c>
      <c r="Y33">
        <v>301</v>
      </c>
      <c r="Z33">
        <v>500</v>
      </c>
      <c r="AA33">
        <v>501</v>
      </c>
      <c r="AB33">
        <v>99999</v>
      </c>
      <c r="AC33" s="1">
        <v>2002</v>
      </c>
      <c r="AD33" s="1">
        <v>272</v>
      </c>
      <c r="AE33" s="1">
        <v>301</v>
      </c>
      <c r="AF33" s="1">
        <v>324</v>
      </c>
      <c r="AG33" s="1">
        <v>358</v>
      </c>
      <c r="AH33" s="1"/>
      <c r="AI33" s="1">
        <f>2002-125</f>
        <v>1877</v>
      </c>
      <c r="AJ33">
        <f t="shared" si="3"/>
        <v>-88</v>
      </c>
      <c r="AK33">
        <v>1</v>
      </c>
      <c r="AL33">
        <v>10</v>
      </c>
      <c r="AM33">
        <v>11</v>
      </c>
      <c r="AN33">
        <v>30</v>
      </c>
      <c r="AO33">
        <v>31</v>
      </c>
      <c r="AP33">
        <v>50</v>
      </c>
      <c r="AQ33">
        <v>51</v>
      </c>
      <c r="AR33">
        <v>100</v>
      </c>
      <c r="AS33">
        <v>101</v>
      </c>
      <c r="AT33">
        <v>300</v>
      </c>
      <c r="AU33">
        <v>301</v>
      </c>
      <c r="AV33">
        <v>500</v>
      </c>
      <c r="AW33">
        <v>501</v>
      </c>
      <c r="AX33">
        <v>1000</v>
      </c>
      <c r="AY33">
        <v>1001</v>
      </c>
      <c r="AZ33">
        <v>99999</v>
      </c>
      <c r="BA33" s="1">
        <v>900</v>
      </c>
      <c r="BB33" s="1">
        <v>120</v>
      </c>
      <c r="BC33" s="1">
        <v>140</v>
      </c>
      <c r="BD33" s="1">
        <v>145</v>
      </c>
      <c r="BE33" s="1">
        <v>160</v>
      </c>
      <c r="BF33" s="1">
        <v>180</v>
      </c>
      <c r="BG33" s="1">
        <v>185</v>
      </c>
      <c r="BH33" s="1">
        <v>188</v>
      </c>
      <c r="BI33"/>
      <c r="BJ33"/>
      <c r="BK33"/>
      <c r="BL33"/>
      <c r="BM33"/>
      <c r="BN33"/>
    </row>
    <row r="34" spans="1:66" x14ac:dyDescent="0.55000000000000004">
      <c r="A34" s="4"/>
      <c r="B34" s="19" t="s">
        <v>3</v>
      </c>
      <c r="C34" s="19" t="s">
        <v>4</v>
      </c>
      <c r="D34" s="19" t="str">
        <f>$D$20</f>
        <v>下水道（有）</v>
      </c>
      <c r="E34" s="19" t="s">
        <v>11</v>
      </c>
      <c r="F34" s="21" t="s">
        <v>0</v>
      </c>
      <c r="G34" s="21" t="s">
        <v>1</v>
      </c>
      <c r="H34" s="21" t="s">
        <v>2</v>
      </c>
      <c r="I34" s="21" t="s">
        <v>10</v>
      </c>
      <c r="J34" s="4"/>
      <c r="K34" s="25">
        <f>VLOOKUP($C$3,Q29:BF34,25,0)</f>
        <v>31</v>
      </c>
      <c r="L34" s="25">
        <f>VLOOKUP($C$3,Q29:BF34,26,0)</f>
        <v>50</v>
      </c>
      <c r="M34" s="28">
        <f>VLOOKUP($C$3,Q29:BF34,39,0)</f>
        <v>110</v>
      </c>
      <c r="N34" s="28">
        <f>MAX((MIN(L34,$C$4)-K34+1)*M34,0)</f>
        <v>0</v>
      </c>
      <c r="O34" s="2"/>
      <c r="P34" s="45">
        <v>31</v>
      </c>
      <c r="Q34" t="s">
        <v>33</v>
      </c>
      <c r="R34"/>
      <c r="S34"/>
      <c r="T34"/>
      <c r="U34"/>
      <c r="V34"/>
      <c r="W34"/>
      <c r="X34"/>
      <c r="Y34"/>
      <c r="Z34"/>
      <c r="AA34"/>
      <c r="AB34"/>
      <c r="AC34" s="1"/>
      <c r="AD34" s="1"/>
      <c r="AE34" s="1"/>
      <c r="AF34" s="1"/>
      <c r="AG34" s="1"/>
      <c r="AH34" s="1">
        <v>387</v>
      </c>
      <c r="AI34" s="1">
        <v>0</v>
      </c>
      <c r="AJ34">
        <f t="shared" si="3"/>
        <v>0</v>
      </c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 t="s">
        <v>21</v>
      </c>
      <c r="BB34"/>
      <c r="BC34"/>
      <c r="BD34"/>
      <c r="BE34"/>
      <c r="BF34"/>
      <c r="BG34"/>
      <c r="BH34"/>
      <c r="BI34"/>
      <c r="BJ34"/>
      <c r="BK34"/>
      <c r="BL34"/>
      <c r="BM34"/>
      <c r="BN34"/>
    </row>
    <row r="35" spans="1:66" ht="20.25" customHeight="1" x14ac:dyDescent="0.55000000000000004">
      <c r="A35" s="4"/>
      <c r="B35" s="37" t="str">
        <f>B21</f>
        <v>家庭用</v>
      </c>
      <c r="C35" s="38">
        <f>IF(AND(C3="臨時用",C4=0),0,IF(OR(計算表!$C$3="臨時用",計算表!$C$3="船舶用"),ROUNDDOWN(($C$4*VLOOKUP(B35,$Q$29:$AI$34,18,0)),0),ROUNDDOWN((IF($C$4="","",SUM($I$33,I36:I39))),0)))</f>
        <v>949</v>
      </c>
      <c r="D35" s="38">
        <f>IF(AND(C3="臨時用",C4=0),0,IF($D$34="下水道（有）",ROUNDDOWN((IF($C$4="","",SUM($N$30,$N$33:$N$39))),0),0))</f>
        <v>650</v>
      </c>
      <c r="E35" s="39">
        <f>SUM(C35:D35)</f>
        <v>1599</v>
      </c>
      <c r="F35" s="25">
        <f>VLOOKUP($B$21,$Q$29:$T$34,3,0)</f>
        <v>1</v>
      </c>
      <c r="G35" s="25">
        <f>VLOOKUP($B$21,$Q$29:$T$34,4,0)</f>
        <v>8</v>
      </c>
      <c r="H35" s="26" t="s">
        <v>28</v>
      </c>
      <c r="I35" s="26" t="s">
        <v>28</v>
      </c>
      <c r="J35" s="4"/>
      <c r="K35" s="25">
        <f>VLOOKUP($C$3,Q29:BF34,27,0)</f>
        <v>51</v>
      </c>
      <c r="L35" s="25">
        <f>VLOOKUP($C$3,Q29:BF34,28,0)</f>
        <v>100</v>
      </c>
      <c r="M35" s="28">
        <f>VLOOKUP($C$3,Q29:BF34,40,0)</f>
        <v>130</v>
      </c>
      <c r="N35" s="28">
        <f t="shared" ref="N35:N39" si="4">MAX((MIN(L35,$C$4)-K35+1)*M35,0)</f>
        <v>0</v>
      </c>
      <c r="O35" s="2"/>
      <c r="P35" s="45">
        <v>32</v>
      </c>
      <c r="Q35">
        <v>1</v>
      </c>
      <c r="R35">
        <v>2</v>
      </c>
      <c r="S35">
        <v>3</v>
      </c>
      <c r="T35">
        <v>4</v>
      </c>
      <c r="U35">
        <v>5</v>
      </c>
      <c r="V35">
        <v>6</v>
      </c>
      <c r="W35">
        <v>7</v>
      </c>
      <c r="X35">
        <v>8</v>
      </c>
      <c r="Y35">
        <v>9</v>
      </c>
      <c r="Z35">
        <v>10</v>
      </c>
      <c r="AA35">
        <v>11</v>
      </c>
      <c r="AB35">
        <v>12</v>
      </c>
      <c r="AC35" s="59">
        <v>13</v>
      </c>
      <c r="AD35" s="59">
        <v>14</v>
      </c>
      <c r="AE35" s="59">
        <v>15</v>
      </c>
      <c r="AF35" s="59">
        <v>16</v>
      </c>
      <c r="AG35" s="59">
        <v>17</v>
      </c>
      <c r="AH35" s="59">
        <v>18</v>
      </c>
      <c r="AI35" s="59">
        <v>19</v>
      </c>
      <c r="AJ35" s="59">
        <v>20</v>
      </c>
      <c r="AK35" s="59">
        <v>21</v>
      </c>
      <c r="AL35" s="59">
        <v>22</v>
      </c>
      <c r="AM35" s="59">
        <v>23</v>
      </c>
      <c r="AN35" s="59">
        <v>24</v>
      </c>
      <c r="AO35" s="59">
        <v>25</v>
      </c>
      <c r="AP35" s="59">
        <v>26</v>
      </c>
      <c r="AQ35" s="59">
        <v>27</v>
      </c>
      <c r="AR35" s="59">
        <v>28</v>
      </c>
      <c r="AS35" s="59">
        <v>29</v>
      </c>
      <c r="AT35" s="59">
        <v>30</v>
      </c>
      <c r="AU35" s="59">
        <v>31</v>
      </c>
      <c r="AV35" s="59">
        <v>32</v>
      </c>
      <c r="AW35" s="59">
        <v>33</v>
      </c>
      <c r="AX35" s="59">
        <v>34</v>
      </c>
      <c r="AY35" s="59">
        <v>35</v>
      </c>
      <c r="AZ35" s="59">
        <v>36</v>
      </c>
      <c r="BA35" s="59">
        <v>37</v>
      </c>
      <c r="BB35" s="59">
        <v>38</v>
      </c>
      <c r="BC35" s="59">
        <v>39</v>
      </c>
      <c r="BD35" s="59">
        <v>40</v>
      </c>
      <c r="BE35" s="59">
        <v>41</v>
      </c>
      <c r="BF35" s="59">
        <v>42</v>
      </c>
      <c r="BG35" s="59">
        <v>43</v>
      </c>
      <c r="BH35" s="59">
        <v>44</v>
      </c>
      <c r="BI35"/>
      <c r="BJ35"/>
      <c r="BK35"/>
      <c r="BL35"/>
      <c r="BM35"/>
      <c r="BN35"/>
    </row>
    <row r="36" spans="1:66" x14ac:dyDescent="0.55000000000000004">
      <c r="A36" s="4"/>
      <c r="B36" s="6" t="s">
        <v>23</v>
      </c>
      <c r="C36" s="27">
        <f>IF(C3="基地用",0,ROUNDDOWN(C35*0.1,0))</f>
        <v>94</v>
      </c>
      <c r="D36" s="27">
        <f>IF($B$35="基地用",0,ROUNDDOWN($D$35*0.1,0))</f>
        <v>65</v>
      </c>
      <c r="E36" s="27">
        <f>SUM(C36:D36)</f>
        <v>159</v>
      </c>
      <c r="F36" s="25">
        <f>VLOOKUP($B$21,$Q$29:$U$34,5,0)</f>
        <v>9</v>
      </c>
      <c r="G36" s="25">
        <f>VLOOKUP(B$21,$Q29:$V34,6,0)</f>
        <v>20</v>
      </c>
      <c r="H36" s="28">
        <f>VLOOKUP($B$21,$Q$29:$AD$34,14,0)</f>
        <v>209</v>
      </c>
      <c r="I36" s="28">
        <f>MAX((MIN(G36,$C$4)-F36+1)*H36,0)</f>
        <v>0</v>
      </c>
      <c r="J36" s="15"/>
      <c r="K36" s="25">
        <f>VLOOKUP($C$3,Q29:BF34,29,0)</f>
        <v>101</v>
      </c>
      <c r="L36" s="25">
        <f>VLOOKUP($C$3,Q29:BF34,30,0)</f>
        <v>300</v>
      </c>
      <c r="M36" s="28">
        <f>VLOOKUP($C$3,Q29:BF34,41,0)</f>
        <v>155</v>
      </c>
      <c r="N36" s="28">
        <f t="shared" si="4"/>
        <v>0</v>
      </c>
      <c r="O36" s="2"/>
      <c r="Q36"/>
      <c r="R36"/>
      <c r="S36"/>
      <c r="T36"/>
      <c r="U36"/>
      <c r="V36"/>
      <c r="W36"/>
      <c r="X36"/>
      <c r="Y36"/>
      <c r="Z36"/>
      <c r="AA36"/>
      <c r="AB36"/>
      <c r="AC36" s="59"/>
      <c r="AD36" s="59"/>
      <c r="AE36" s="59"/>
      <c r="AF36" s="59"/>
      <c r="AG36" s="59"/>
      <c r="AH36" s="59"/>
      <c r="AI36" s="59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 s="59"/>
      <c r="BG36"/>
      <c r="BH36"/>
      <c r="BI36"/>
      <c r="BJ36"/>
      <c r="BK36"/>
      <c r="BL36"/>
      <c r="BM36"/>
      <c r="BN36"/>
    </row>
    <row r="37" spans="1:66" x14ac:dyDescent="0.55000000000000004">
      <c r="A37" s="4"/>
      <c r="B37" s="30" t="s">
        <v>24</v>
      </c>
      <c r="C37" s="31">
        <f>SUM(C35:C36)</f>
        <v>1043</v>
      </c>
      <c r="D37" s="31">
        <f>SUM(D35:D36)</f>
        <v>715</v>
      </c>
      <c r="E37" s="31">
        <f>SUM(E35:E36)</f>
        <v>1758</v>
      </c>
      <c r="F37" s="25">
        <f>VLOOKUP($B$21,$Q$29:$W$34,7,0)</f>
        <v>21</v>
      </c>
      <c r="G37" s="25">
        <f>VLOOKUP($B$21,$Q$29:$X$34,8,0)</f>
        <v>100</v>
      </c>
      <c r="H37" s="28">
        <f>VLOOKUP($B$21,$Q$29:$AE$34,15,0)</f>
        <v>232</v>
      </c>
      <c r="I37" s="28">
        <f>MAX((MIN(G37,$C$4)-F37+1)*H37,0)</f>
        <v>0</v>
      </c>
      <c r="J37" s="15"/>
      <c r="K37" s="25">
        <f>VLOOKUP($C$3,Q29:BF34,31,0)</f>
        <v>301</v>
      </c>
      <c r="L37" s="25">
        <f>VLOOKUP($C$3,Q29:BF34,32,0)</f>
        <v>99999</v>
      </c>
      <c r="M37" s="28">
        <f>IF(K37=0,0,VLOOKUP($C$3,Q29:BF34,42,0))</f>
        <v>175</v>
      </c>
      <c r="N37" s="28">
        <f t="shared" si="4"/>
        <v>0</v>
      </c>
      <c r="O37" s="2"/>
      <c r="Q37"/>
      <c r="R37"/>
      <c r="S37" s="53"/>
      <c r="T37"/>
      <c r="U37"/>
      <c r="V37"/>
      <c r="W37"/>
      <c r="X37"/>
      <c r="Y37"/>
      <c r="Z37"/>
      <c r="AA37"/>
      <c r="AB37"/>
      <c r="AC37" s="59"/>
      <c r="AD37" s="59"/>
      <c r="AE37" s="59"/>
      <c r="AF37" s="59"/>
      <c r="AG37" s="59"/>
      <c r="AH37" s="59"/>
      <c r="AI37" s="59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</row>
    <row r="38" spans="1:66" x14ac:dyDescent="0.55000000000000004">
      <c r="A38" s="4"/>
      <c r="B38" s="82"/>
      <c r="C38" s="83"/>
      <c r="D38" s="83"/>
      <c r="E38" s="83"/>
      <c r="F38" s="25">
        <f>VLOOKUP($B$21,$Q$29:$Y$34,9,0)</f>
        <v>101</v>
      </c>
      <c r="G38" s="25">
        <f>VLOOKUP($B$21,$Q$29:$Z$34,10,0)</f>
        <v>300</v>
      </c>
      <c r="H38" s="28">
        <f>VLOOKUP($B$21,$Q$29:$AF$34,16,0)</f>
        <v>266</v>
      </c>
      <c r="I38" s="28">
        <f>MAX((MIN(G38,$C$4)-F38+1)*H38,0)</f>
        <v>0</v>
      </c>
      <c r="J38" s="15"/>
      <c r="K38" s="25">
        <f>VLOOKUP($C$3,Q29:BF34,33,0)</f>
        <v>0</v>
      </c>
      <c r="L38" s="25">
        <f>VLOOKUP($C$3,Q29:BF34,34,0)</f>
        <v>0</v>
      </c>
      <c r="M38" s="28">
        <f>IF(K38=0,0,VLOOKUP($C$3,Q29:BH34,43,0))</f>
        <v>0</v>
      </c>
      <c r="N38" s="28">
        <f t="shared" si="4"/>
        <v>0</v>
      </c>
      <c r="O38" s="2"/>
      <c r="Q38"/>
      <c r="R38"/>
      <c r="S38"/>
      <c r="T38"/>
      <c r="U38"/>
      <c r="V38"/>
      <c r="W38"/>
      <c r="X38"/>
      <c r="Y38"/>
      <c r="Z38"/>
      <c r="AA38"/>
      <c r="AB38"/>
      <c r="AC38" s="59"/>
      <c r="AD38" s="59"/>
      <c r="AE38" s="59"/>
      <c r="AF38" s="59"/>
      <c r="AG38" s="59"/>
      <c r="AH38" s="59"/>
      <c r="AI38" s="59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</row>
    <row r="39" spans="1:66" x14ac:dyDescent="0.55000000000000004">
      <c r="A39" s="4"/>
      <c r="B39" s="65"/>
      <c r="C39" s="65"/>
      <c r="D39" s="65"/>
      <c r="E39" s="65"/>
      <c r="F39" s="25">
        <f>VLOOKUP($B$21,$Q$29:$AA$34,11,0)</f>
        <v>301</v>
      </c>
      <c r="G39" s="25">
        <f>VLOOKUP($B$21,$Q$29:$AB$34,12,0)</f>
        <v>99999</v>
      </c>
      <c r="H39" s="28">
        <f>VLOOKUP($B$21,$Q$29:$AG$34,17,0)</f>
        <v>292</v>
      </c>
      <c r="I39" s="28">
        <f>MAX((MIN(G39,$C$4)-F39+1)*H39,0)</f>
        <v>0</v>
      </c>
      <c r="J39" s="4"/>
      <c r="K39" s="25">
        <f>VLOOKUP($C$3,Q29:BF34,35,0)</f>
        <v>0</v>
      </c>
      <c r="L39" s="25">
        <f>VLOOKUP($C$3,Q29:BF34,36,0)</f>
        <v>0</v>
      </c>
      <c r="M39" s="28">
        <f>IF(K39=0,0,VLOOKUP($C$3,Q29:BH34,44,0))</f>
        <v>0</v>
      </c>
      <c r="N39" s="28">
        <f t="shared" si="4"/>
        <v>0</v>
      </c>
      <c r="O39" s="2"/>
      <c r="Q39" s="60" t="s">
        <v>49</v>
      </c>
      <c r="R39"/>
      <c r="S39"/>
      <c r="T39"/>
      <c r="U39"/>
      <c r="V39"/>
      <c r="W39"/>
      <c r="X39"/>
      <c r="Y39"/>
      <c r="Z39"/>
      <c r="AA39"/>
      <c r="AB39"/>
      <c r="AC39" t="s">
        <v>5</v>
      </c>
      <c r="AD39"/>
      <c r="AE39"/>
      <c r="AF39"/>
      <c r="AG39"/>
      <c r="AH39"/>
      <c r="AI39" t="s">
        <v>42</v>
      </c>
      <c r="AJ39" t="s">
        <v>43</v>
      </c>
      <c r="AK39" t="s">
        <v>13</v>
      </c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</row>
    <row r="40" spans="1:66" x14ac:dyDescent="0.55000000000000004">
      <c r="A40" s="4"/>
      <c r="B40" s="42"/>
      <c r="C40" s="43"/>
      <c r="D40" s="43"/>
      <c r="E40" s="43"/>
      <c r="F40" s="55" t="str">
        <f>IF(B35="船舶用","※1m3につき　387円",IF(B35="臨時用","※1m3につき 559円（税抜）",""))</f>
        <v/>
      </c>
      <c r="G40" s="47"/>
      <c r="H40" s="48"/>
      <c r="I40" s="67"/>
      <c r="J40" s="4"/>
      <c r="K40" s="71" t="s">
        <v>14</v>
      </c>
      <c r="L40" s="72"/>
      <c r="M40" s="73"/>
      <c r="N40" s="6" t="s">
        <v>9</v>
      </c>
      <c r="O40" s="2"/>
      <c r="Q40" t="s">
        <v>34</v>
      </c>
      <c r="R40" t="s">
        <v>7</v>
      </c>
      <c r="S40">
        <v>1</v>
      </c>
      <c r="T40">
        <v>8</v>
      </c>
      <c r="U40">
        <v>9</v>
      </c>
      <c r="V40">
        <v>20</v>
      </c>
      <c r="W40">
        <v>21</v>
      </c>
      <c r="X40">
        <v>100</v>
      </c>
      <c r="Y40">
        <v>101</v>
      </c>
      <c r="Z40">
        <v>300</v>
      </c>
      <c r="AA40">
        <v>301</v>
      </c>
      <c r="AB40">
        <v>99999</v>
      </c>
      <c r="AC40" s="1">
        <v>1235</v>
      </c>
      <c r="AD40" s="1">
        <v>240</v>
      </c>
      <c r="AE40" s="1">
        <v>267</v>
      </c>
      <c r="AF40" s="1">
        <v>306</v>
      </c>
      <c r="AG40" s="1">
        <v>336</v>
      </c>
      <c r="AH40" s="1"/>
      <c r="AI40" s="1">
        <v>1235</v>
      </c>
      <c r="AJ40">
        <f t="shared" ref="AJ40:AJ45" si="5">AI40-AC31</f>
        <v>-710</v>
      </c>
      <c r="AK40">
        <v>1</v>
      </c>
      <c r="AL40">
        <v>10</v>
      </c>
      <c r="AM40">
        <v>11</v>
      </c>
      <c r="AN40">
        <v>30</v>
      </c>
      <c r="AO40">
        <v>31</v>
      </c>
      <c r="AP40">
        <v>50</v>
      </c>
      <c r="AQ40">
        <v>51</v>
      </c>
      <c r="AR40">
        <v>100</v>
      </c>
      <c r="AS40">
        <v>101</v>
      </c>
      <c r="AT40">
        <v>300</v>
      </c>
      <c r="AU40">
        <v>301</v>
      </c>
      <c r="AV40">
        <v>99999</v>
      </c>
      <c r="AW40"/>
      <c r="AX40"/>
      <c r="AY40"/>
      <c r="AZ40"/>
      <c r="BA40" s="1">
        <v>752</v>
      </c>
      <c r="BB40" s="1">
        <v>110</v>
      </c>
      <c r="BC40" s="1">
        <v>127</v>
      </c>
      <c r="BD40" s="1">
        <v>150</v>
      </c>
      <c r="BE40" s="1">
        <v>179</v>
      </c>
      <c r="BF40" s="1">
        <v>203</v>
      </c>
      <c r="BG40" s="1"/>
      <c r="BH40" s="1"/>
    </row>
    <row r="41" spans="1:66" x14ac:dyDescent="0.55000000000000004">
      <c r="A41" s="2"/>
      <c r="B41" s="46"/>
      <c r="C41" s="2"/>
      <c r="D41" s="2"/>
      <c r="E41" s="2"/>
      <c r="F41" s="4"/>
      <c r="G41" s="4"/>
      <c r="H41" s="4"/>
      <c r="I41" s="68"/>
      <c r="J41" s="4"/>
      <c r="K41" s="74"/>
      <c r="L41" s="75"/>
      <c r="M41" s="76"/>
      <c r="N41" s="17">
        <f>VLOOKUP($B$46,$Q$40:$BH$45,37,0)</f>
        <v>752</v>
      </c>
      <c r="O41" s="2"/>
      <c r="Q41" t="s">
        <v>30</v>
      </c>
      <c r="R41" t="s">
        <v>8</v>
      </c>
      <c r="S41">
        <v>1</v>
      </c>
      <c r="T41">
        <v>10</v>
      </c>
      <c r="U41">
        <v>11</v>
      </c>
      <c r="V41">
        <v>30</v>
      </c>
      <c r="W41">
        <v>31</v>
      </c>
      <c r="X41">
        <v>100</v>
      </c>
      <c r="Y41">
        <v>101</v>
      </c>
      <c r="Z41">
        <v>300</v>
      </c>
      <c r="AA41">
        <v>301</v>
      </c>
      <c r="AB41">
        <v>99999</v>
      </c>
      <c r="AC41" s="1">
        <v>1978</v>
      </c>
      <c r="AD41" s="1">
        <v>267</v>
      </c>
      <c r="AE41" s="1">
        <v>306</v>
      </c>
      <c r="AF41" s="1">
        <v>336</v>
      </c>
      <c r="AG41" s="1">
        <v>361</v>
      </c>
      <c r="AH41" s="1"/>
      <c r="AI41" s="1">
        <v>1978</v>
      </c>
      <c r="AJ41">
        <f t="shared" si="5"/>
        <v>1978</v>
      </c>
      <c r="AK41">
        <v>1</v>
      </c>
      <c r="AL41">
        <v>10</v>
      </c>
      <c r="AM41">
        <v>11</v>
      </c>
      <c r="AN41">
        <v>30</v>
      </c>
      <c r="AO41">
        <v>31</v>
      </c>
      <c r="AP41">
        <v>50</v>
      </c>
      <c r="AQ41">
        <v>51</v>
      </c>
      <c r="AR41">
        <v>100</v>
      </c>
      <c r="AS41">
        <v>101</v>
      </c>
      <c r="AT41">
        <v>300</v>
      </c>
      <c r="AU41">
        <v>301</v>
      </c>
      <c r="AV41">
        <v>500</v>
      </c>
      <c r="AW41">
        <v>501</v>
      </c>
      <c r="AX41">
        <v>1000</v>
      </c>
      <c r="AY41">
        <v>1001</v>
      </c>
      <c r="AZ41">
        <v>99999</v>
      </c>
      <c r="BA41" s="1">
        <v>1042</v>
      </c>
      <c r="BB41" s="1">
        <v>139</v>
      </c>
      <c r="BC41" s="1">
        <v>162</v>
      </c>
      <c r="BD41" s="1">
        <v>168</v>
      </c>
      <c r="BE41" s="1">
        <v>185</v>
      </c>
      <c r="BF41" s="1">
        <v>208</v>
      </c>
      <c r="BG41" s="1">
        <v>214</v>
      </c>
      <c r="BH41" s="1">
        <v>218</v>
      </c>
    </row>
    <row r="42" spans="1:66" x14ac:dyDescent="0.55000000000000004">
      <c r="A42" s="2"/>
      <c r="B42" s="2"/>
      <c r="C42" s="2"/>
      <c r="D42" s="2"/>
      <c r="E42" s="2"/>
      <c r="F42" s="4"/>
      <c r="G42" s="4"/>
      <c r="H42" s="4"/>
      <c r="I42" s="66"/>
      <c r="J42" s="4"/>
      <c r="K42" s="21" t="s">
        <v>0</v>
      </c>
      <c r="L42" s="21" t="s">
        <v>1</v>
      </c>
      <c r="M42" s="21" t="s">
        <v>2</v>
      </c>
      <c r="N42" s="21" t="s">
        <v>10</v>
      </c>
      <c r="O42" s="2"/>
      <c r="Q42" t="s">
        <v>31</v>
      </c>
      <c r="R42" t="s">
        <v>8</v>
      </c>
      <c r="S42">
        <v>1</v>
      </c>
      <c r="T42">
        <v>10</v>
      </c>
      <c r="U42">
        <v>11</v>
      </c>
      <c r="V42">
        <v>100</v>
      </c>
      <c r="W42">
        <v>101</v>
      </c>
      <c r="X42">
        <v>300</v>
      </c>
      <c r="Y42">
        <v>301</v>
      </c>
      <c r="Z42">
        <v>500</v>
      </c>
      <c r="AA42">
        <v>501</v>
      </c>
      <c r="AB42">
        <v>99999</v>
      </c>
      <c r="AC42" s="1">
        <v>2237</v>
      </c>
      <c r="AD42" s="1">
        <v>306</v>
      </c>
      <c r="AE42" s="1">
        <v>336</v>
      </c>
      <c r="AF42" s="1">
        <v>361</v>
      </c>
      <c r="AG42" s="1">
        <v>399</v>
      </c>
      <c r="AH42" s="1"/>
      <c r="AI42" s="1">
        <v>2237</v>
      </c>
      <c r="AJ42">
        <f t="shared" si="5"/>
        <v>235</v>
      </c>
      <c r="AK42">
        <v>1</v>
      </c>
      <c r="AL42">
        <v>10</v>
      </c>
      <c r="AM42">
        <v>11</v>
      </c>
      <c r="AN42">
        <v>30</v>
      </c>
      <c r="AO42">
        <v>31</v>
      </c>
      <c r="AP42">
        <v>50</v>
      </c>
      <c r="AQ42">
        <v>51</v>
      </c>
      <c r="AR42">
        <v>100</v>
      </c>
      <c r="AS42">
        <v>101</v>
      </c>
      <c r="AT42">
        <v>300</v>
      </c>
      <c r="AU42">
        <v>301</v>
      </c>
      <c r="AV42">
        <v>500</v>
      </c>
      <c r="AW42">
        <v>501</v>
      </c>
      <c r="AX42">
        <v>1000</v>
      </c>
      <c r="AY42">
        <v>1001</v>
      </c>
      <c r="AZ42">
        <v>99999</v>
      </c>
      <c r="BA42" s="1">
        <v>1042</v>
      </c>
      <c r="BB42" s="1">
        <v>139</v>
      </c>
      <c r="BC42" s="1">
        <v>162</v>
      </c>
      <c r="BD42" s="1">
        <v>168</v>
      </c>
      <c r="BE42" s="1">
        <v>185</v>
      </c>
      <c r="BF42" s="1">
        <v>208</v>
      </c>
      <c r="BG42" s="1">
        <v>214</v>
      </c>
      <c r="BH42" s="1">
        <v>218</v>
      </c>
    </row>
    <row r="43" spans="1:66" ht="22.5" x14ac:dyDescent="0.55000000000000004">
      <c r="A43" s="4"/>
      <c r="B43" s="69" t="s">
        <v>46</v>
      </c>
      <c r="C43" s="69"/>
      <c r="D43" s="69"/>
      <c r="E43" s="69"/>
      <c r="F43" s="70" t="s">
        <v>22</v>
      </c>
      <c r="G43" s="70"/>
      <c r="H43" s="70"/>
      <c r="I43" s="6" t="s">
        <v>9</v>
      </c>
      <c r="J43" s="4"/>
      <c r="K43" s="25">
        <f>VLOOKUP($C$3,Q40:BF45,21,0)</f>
        <v>1</v>
      </c>
      <c r="L43" s="25">
        <f>VLOOKUP($C$3,Q40:BF45,22,0)</f>
        <v>10</v>
      </c>
      <c r="M43" s="26" t="s">
        <v>50</v>
      </c>
      <c r="N43" s="26" t="s">
        <v>41</v>
      </c>
      <c r="O43" s="2"/>
      <c r="Q43" t="s">
        <v>32</v>
      </c>
      <c r="R43"/>
      <c r="S43"/>
      <c r="T43"/>
      <c r="U43"/>
      <c r="V43"/>
      <c r="W43"/>
      <c r="X43"/>
      <c r="Y43"/>
      <c r="Z43"/>
      <c r="AA43"/>
      <c r="AB43"/>
      <c r="AC43" s="1"/>
      <c r="AD43" s="1"/>
      <c r="AE43" s="1"/>
      <c r="AF43" s="1"/>
      <c r="AG43" s="1"/>
      <c r="AH43" s="1">
        <v>643</v>
      </c>
      <c r="AI43" s="1">
        <v>0</v>
      </c>
      <c r="AJ43">
        <f t="shared" si="5"/>
        <v>0</v>
      </c>
      <c r="AK43">
        <v>1</v>
      </c>
      <c r="AL43">
        <v>10</v>
      </c>
      <c r="AM43">
        <v>11</v>
      </c>
      <c r="AN43">
        <v>30</v>
      </c>
      <c r="AO43">
        <v>31</v>
      </c>
      <c r="AP43">
        <v>50</v>
      </c>
      <c r="AQ43">
        <v>51</v>
      </c>
      <c r="AR43">
        <v>100</v>
      </c>
      <c r="AS43">
        <v>101</v>
      </c>
      <c r="AT43">
        <v>300</v>
      </c>
      <c r="AU43">
        <v>301</v>
      </c>
      <c r="AV43">
        <v>500</v>
      </c>
      <c r="AW43">
        <v>501</v>
      </c>
      <c r="AX43">
        <v>1000</v>
      </c>
      <c r="AY43">
        <v>1001</v>
      </c>
      <c r="AZ43">
        <v>99999</v>
      </c>
      <c r="BA43" s="1">
        <v>1042</v>
      </c>
      <c r="BB43" s="1">
        <v>139</v>
      </c>
      <c r="BC43" s="1">
        <v>162</v>
      </c>
      <c r="BD43" s="1">
        <v>168</v>
      </c>
      <c r="BE43" s="1">
        <v>185</v>
      </c>
      <c r="BF43" s="1">
        <v>208</v>
      </c>
      <c r="BG43" s="1">
        <v>214</v>
      </c>
      <c r="BH43" s="1">
        <v>218</v>
      </c>
    </row>
    <row r="44" spans="1:66" x14ac:dyDescent="0.55000000000000004">
      <c r="A44" s="4"/>
      <c r="B44" s="77" t="s">
        <v>26</v>
      </c>
      <c r="C44" s="78"/>
      <c r="D44" s="78"/>
      <c r="E44" s="79"/>
      <c r="F44" s="70"/>
      <c r="G44" s="70"/>
      <c r="H44" s="70"/>
      <c r="I44" s="17">
        <f>VLOOKUP($B$21,$Q$40:$AI$45,19,0)</f>
        <v>1235</v>
      </c>
      <c r="J44" s="4"/>
      <c r="K44" s="25">
        <f>VLOOKUP($C$3,Q40:BF45,23,0)</f>
        <v>11</v>
      </c>
      <c r="L44" s="25">
        <f>VLOOKUP($C$3,Q40:BF45,24,0)</f>
        <v>30</v>
      </c>
      <c r="M44" s="28">
        <f>VLOOKUP($C$3,Q40:BF46,38,0)</f>
        <v>110</v>
      </c>
      <c r="N44" s="28">
        <f t="shared" ref="N44:N49" si="6">MAX((MIN(L44,$C$4)-K44+1)*M44,0)</f>
        <v>0</v>
      </c>
      <c r="O44" s="2"/>
      <c r="Q44" t="s">
        <v>6</v>
      </c>
      <c r="R44" t="s">
        <v>8</v>
      </c>
      <c r="S44">
        <v>1</v>
      </c>
      <c r="T44">
        <v>10</v>
      </c>
      <c r="U44">
        <v>11</v>
      </c>
      <c r="V44">
        <v>100</v>
      </c>
      <c r="W44">
        <v>101</v>
      </c>
      <c r="X44">
        <v>300</v>
      </c>
      <c r="Y44">
        <v>301</v>
      </c>
      <c r="Z44">
        <v>500</v>
      </c>
      <c r="AA44">
        <v>501</v>
      </c>
      <c r="AB44">
        <v>99999</v>
      </c>
      <c r="AC44" s="1">
        <v>2302</v>
      </c>
      <c r="AD44" s="1">
        <v>313</v>
      </c>
      <c r="AE44" s="1">
        <v>346</v>
      </c>
      <c r="AF44" s="1">
        <v>373</v>
      </c>
      <c r="AG44" s="1">
        <v>412</v>
      </c>
      <c r="AH44" s="1"/>
      <c r="AI44" s="1">
        <v>2302</v>
      </c>
      <c r="AJ44">
        <f t="shared" si="5"/>
        <v>2289</v>
      </c>
      <c r="AK44">
        <v>1</v>
      </c>
      <c r="AL44">
        <v>10</v>
      </c>
      <c r="AM44">
        <v>11</v>
      </c>
      <c r="AN44">
        <v>30</v>
      </c>
      <c r="AO44">
        <v>31</v>
      </c>
      <c r="AP44">
        <v>50</v>
      </c>
      <c r="AQ44">
        <v>51</v>
      </c>
      <c r="AR44">
        <v>100</v>
      </c>
      <c r="AS44">
        <v>101</v>
      </c>
      <c r="AT44">
        <v>300</v>
      </c>
      <c r="AU44">
        <v>301</v>
      </c>
      <c r="AV44">
        <v>500</v>
      </c>
      <c r="AW44">
        <v>501</v>
      </c>
      <c r="AX44">
        <v>1000</v>
      </c>
      <c r="AY44">
        <v>1001</v>
      </c>
      <c r="AZ44">
        <v>99999</v>
      </c>
      <c r="BA44" s="1">
        <v>1042</v>
      </c>
      <c r="BB44" s="1">
        <v>139</v>
      </c>
      <c r="BC44" s="1">
        <v>162</v>
      </c>
      <c r="BD44" s="1">
        <v>168</v>
      </c>
      <c r="BE44" s="1">
        <v>185</v>
      </c>
      <c r="BF44" s="1">
        <v>208</v>
      </c>
      <c r="BG44" s="1">
        <v>214</v>
      </c>
      <c r="BH44" s="1">
        <v>218</v>
      </c>
    </row>
    <row r="45" spans="1:66" x14ac:dyDescent="0.55000000000000004">
      <c r="A45" s="4"/>
      <c r="B45" s="58" t="s">
        <v>3</v>
      </c>
      <c r="C45" s="58" t="s">
        <v>4</v>
      </c>
      <c r="D45" s="58" t="str">
        <f>$D$20</f>
        <v>下水道（有）</v>
      </c>
      <c r="E45" s="58" t="s">
        <v>11</v>
      </c>
      <c r="F45" s="21" t="s">
        <v>16</v>
      </c>
      <c r="G45" s="21" t="s">
        <v>17</v>
      </c>
      <c r="H45" s="21" t="s">
        <v>18</v>
      </c>
      <c r="I45" s="21" t="s">
        <v>10</v>
      </c>
      <c r="J45" s="4"/>
      <c r="K45" s="25">
        <f>VLOOKUP($C$3,Q40:BF45,25,0)</f>
        <v>31</v>
      </c>
      <c r="L45" s="25">
        <f>VLOOKUP($C$3,Q40:BF45,26,0)</f>
        <v>50</v>
      </c>
      <c r="M45" s="28">
        <f>VLOOKUP($C$3,Q40:BF45,39,0)</f>
        <v>127</v>
      </c>
      <c r="N45" s="28">
        <f t="shared" si="6"/>
        <v>0</v>
      </c>
      <c r="O45" s="2"/>
      <c r="Q45" t="s">
        <v>33</v>
      </c>
      <c r="R45"/>
      <c r="S45"/>
      <c r="T45"/>
      <c r="U45"/>
      <c r="V45"/>
      <c r="W45"/>
      <c r="X45"/>
      <c r="Y45"/>
      <c r="Z45"/>
      <c r="AA45"/>
      <c r="AB45"/>
      <c r="AC45" s="1"/>
      <c r="AD45" s="1"/>
      <c r="AE45" s="1"/>
      <c r="AF45" s="1"/>
      <c r="AG45" s="1"/>
      <c r="AH45" s="1">
        <v>445</v>
      </c>
      <c r="AI45" s="1">
        <v>0</v>
      </c>
      <c r="AJ45">
        <f t="shared" si="5"/>
        <v>0</v>
      </c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 t="s">
        <v>21</v>
      </c>
      <c r="BB45"/>
      <c r="BC45"/>
      <c r="BD45"/>
      <c r="BE45"/>
      <c r="BF45"/>
      <c r="BG45"/>
      <c r="BH45"/>
    </row>
    <row r="46" spans="1:66" x14ac:dyDescent="0.55000000000000004">
      <c r="A46" s="4"/>
      <c r="B46" s="37" t="str">
        <f>B35</f>
        <v>家庭用</v>
      </c>
      <c r="C46" s="38">
        <f>IF(OR(計算表!$C$3="臨時用",計算表!$C$3="船舶用"),ROUNDDOWN(($C$4*VLOOKUP(B46,$Q$40:$BH$45,18,0)),0),ROUNDDOWN((IF($C$4="","",SUM($I$44,I46:I50))),0))</f>
        <v>1235</v>
      </c>
      <c r="D46" s="38">
        <f>IF(AND(C3="臨時用",C4=0),0,IF($D$34="下水道（有）",ROUNDDOWN((IF($C$4="","",SUM($N$41,$N$43:$N$50))),0),0))</f>
        <v>752</v>
      </c>
      <c r="E46" s="39">
        <f>SUM(C46:D46)</f>
        <v>1987</v>
      </c>
      <c r="F46" s="25">
        <f>VLOOKUP($B$21,$Q$40:$T$45,3,0)</f>
        <v>1</v>
      </c>
      <c r="G46" s="25">
        <f>VLOOKUP($B$21,$Q$40:$T$45,4,0)</f>
        <v>8</v>
      </c>
      <c r="H46" s="26" t="s">
        <v>28</v>
      </c>
      <c r="I46" s="26" t="s">
        <v>28</v>
      </c>
      <c r="J46" s="4"/>
      <c r="K46" s="25">
        <f>VLOOKUP($C$3,Q40:BF45,27,0)</f>
        <v>51</v>
      </c>
      <c r="L46" s="25">
        <f>VLOOKUP($C$3,Q40:BF45,28,0)</f>
        <v>100</v>
      </c>
      <c r="M46" s="28">
        <f>VLOOKUP($C$3,Q40:BF45,40,0)</f>
        <v>150</v>
      </c>
      <c r="N46" s="28">
        <f t="shared" si="6"/>
        <v>0</v>
      </c>
      <c r="O46" s="2"/>
      <c r="Q46">
        <v>1</v>
      </c>
      <c r="R46">
        <v>2</v>
      </c>
      <c r="S46">
        <v>3</v>
      </c>
      <c r="T46">
        <v>4</v>
      </c>
      <c r="U46">
        <v>5</v>
      </c>
      <c r="V46">
        <v>6</v>
      </c>
      <c r="W46">
        <v>7</v>
      </c>
      <c r="X46">
        <v>8</v>
      </c>
      <c r="Y46">
        <v>9</v>
      </c>
      <c r="Z46">
        <v>10</v>
      </c>
      <c r="AA46">
        <v>11</v>
      </c>
      <c r="AB46">
        <v>12</v>
      </c>
      <c r="AC46" s="59">
        <v>13</v>
      </c>
      <c r="AD46" s="59">
        <v>14</v>
      </c>
      <c r="AE46" s="59">
        <v>15</v>
      </c>
      <c r="AF46" s="59">
        <v>16</v>
      </c>
      <c r="AG46" s="59">
        <v>17</v>
      </c>
      <c r="AH46" s="59">
        <v>18</v>
      </c>
      <c r="AI46" s="59">
        <v>19</v>
      </c>
      <c r="AJ46" s="59">
        <v>20</v>
      </c>
      <c r="AK46" s="59">
        <v>21</v>
      </c>
      <c r="AL46" s="59">
        <v>22</v>
      </c>
      <c r="AM46" s="59">
        <v>23</v>
      </c>
      <c r="AN46" s="59">
        <v>24</v>
      </c>
      <c r="AO46" s="59">
        <v>25</v>
      </c>
      <c r="AP46" s="59">
        <v>26</v>
      </c>
      <c r="AQ46" s="59">
        <v>27</v>
      </c>
      <c r="AR46" s="59">
        <v>28</v>
      </c>
      <c r="AS46" s="59">
        <v>29</v>
      </c>
      <c r="AT46" s="59">
        <v>30</v>
      </c>
      <c r="AU46" s="59">
        <v>31</v>
      </c>
      <c r="AV46" s="59">
        <v>32</v>
      </c>
      <c r="AW46" s="59">
        <v>33</v>
      </c>
      <c r="AX46" s="59">
        <v>34</v>
      </c>
      <c r="AY46" s="59">
        <v>35</v>
      </c>
      <c r="AZ46" s="59">
        <v>36</v>
      </c>
      <c r="BA46" s="59">
        <v>37</v>
      </c>
      <c r="BB46" s="59">
        <v>38</v>
      </c>
      <c r="BC46" s="59">
        <v>39</v>
      </c>
      <c r="BD46" s="59">
        <v>40</v>
      </c>
      <c r="BE46" s="59">
        <v>41</v>
      </c>
      <c r="BF46" s="59">
        <v>42</v>
      </c>
      <c r="BG46" s="59">
        <v>43</v>
      </c>
      <c r="BH46" s="59">
        <v>44</v>
      </c>
    </row>
    <row r="47" spans="1:66" x14ac:dyDescent="0.55000000000000004">
      <c r="A47" s="4"/>
      <c r="B47" s="6" t="s">
        <v>23</v>
      </c>
      <c r="C47" s="27">
        <f>IF(C3="基地用",0,ROUNDDOWN(C46*0.1,0))</f>
        <v>123</v>
      </c>
      <c r="D47" s="27">
        <f>IF($B$35="基地用",0,ROUNDDOWN($D$46*0.1,0))</f>
        <v>75</v>
      </c>
      <c r="E47" s="27">
        <f>SUM(C47:D47)</f>
        <v>198</v>
      </c>
      <c r="F47" s="25">
        <f>VLOOKUP($B$21,$Q$40:$U$45,5,0)</f>
        <v>9</v>
      </c>
      <c r="G47" s="25">
        <f>VLOOKUP(B$21,$Q40:$V45,6,0)</f>
        <v>20</v>
      </c>
      <c r="H47" s="28">
        <f>VLOOKUP($B$21,$Q$40:$AD$45,14,0)</f>
        <v>240</v>
      </c>
      <c r="I47" s="28">
        <f>MAX((MIN(G47,$C$4)-F47+1)*H47,0)</f>
        <v>0</v>
      </c>
      <c r="J47" s="15"/>
      <c r="K47" s="25">
        <f>VLOOKUP($C$3,Q40:BF45,29,0)</f>
        <v>101</v>
      </c>
      <c r="L47" s="25">
        <f>VLOOKUP($C$3,Q40:BF45,30,0)</f>
        <v>300</v>
      </c>
      <c r="M47" s="28">
        <f>VLOOKUP($C$3,Q40:BF45,41,0)</f>
        <v>179</v>
      </c>
      <c r="N47" s="44">
        <f t="shared" si="6"/>
        <v>0</v>
      </c>
      <c r="O47" s="2"/>
      <c r="AC47" s="45"/>
      <c r="AD47" s="45"/>
      <c r="AE47" s="45"/>
      <c r="AF47" s="45"/>
      <c r="AG47" s="45"/>
      <c r="AH47" s="45"/>
      <c r="AI47" s="45"/>
      <c r="AJ47" s="45"/>
    </row>
    <row r="48" spans="1:66" x14ac:dyDescent="0.55000000000000004">
      <c r="A48" s="4"/>
      <c r="B48" s="57" t="s">
        <v>24</v>
      </c>
      <c r="C48" s="31">
        <f>SUM(C46:C47)</f>
        <v>1358</v>
      </c>
      <c r="D48" s="31">
        <f>SUM(D46:D47)</f>
        <v>827</v>
      </c>
      <c r="E48" s="31">
        <f>SUM(E46:E47)</f>
        <v>2185</v>
      </c>
      <c r="F48" s="25">
        <f>VLOOKUP($B$21,$Q$40:$W$45,7,0)</f>
        <v>21</v>
      </c>
      <c r="G48" s="25">
        <f>VLOOKUP($B$21,$Q$40:$X$45,8,0)</f>
        <v>100</v>
      </c>
      <c r="H48" s="28">
        <f>VLOOKUP($B$21,$Q$40:$AE$45,15,0)</f>
        <v>267</v>
      </c>
      <c r="I48" s="28">
        <f>MAX((MIN(G48,$C$4)-F48+1)*H48,0)</f>
        <v>0</v>
      </c>
      <c r="J48" s="15"/>
      <c r="K48" s="25">
        <f>VLOOKUP($C$3,Q40:BF45,31,0)</f>
        <v>301</v>
      </c>
      <c r="L48" s="25">
        <f>VLOOKUP($C$3,Q40:BF45,32,0)</f>
        <v>99999</v>
      </c>
      <c r="M48" s="28">
        <f>IF(K48=0,0,VLOOKUP($C$3,Q40:BF45,42,0))</f>
        <v>203</v>
      </c>
      <c r="N48" s="28">
        <f t="shared" si="6"/>
        <v>0</v>
      </c>
      <c r="O48" s="2"/>
      <c r="AC48" s="45"/>
      <c r="AD48" s="45"/>
      <c r="AE48" s="45"/>
      <c r="AF48" s="45"/>
      <c r="AG48" s="45"/>
      <c r="AH48" s="45"/>
      <c r="AI48" s="45"/>
      <c r="AJ48" s="45"/>
    </row>
    <row r="49" spans="1:15" x14ac:dyDescent="0.55000000000000004">
      <c r="A49" s="4"/>
      <c r="B49" s="80" t="s">
        <v>45</v>
      </c>
      <c r="C49" s="81"/>
      <c r="D49" s="81"/>
      <c r="E49" s="81"/>
      <c r="F49" s="25">
        <f>VLOOKUP($B$21,$Q$40:$Y$45,9,0)</f>
        <v>101</v>
      </c>
      <c r="G49" s="25">
        <f>VLOOKUP($B$21,$Q$40:$Z$45,10,0)</f>
        <v>300</v>
      </c>
      <c r="H49" s="28">
        <f>VLOOKUP($B$21,$Q$40:$AF$45,16,0)</f>
        <v>306</v>
      </c>
      <c r="I49" s="28">
        <f>MAX((MIN(G49,$C$4)-F49+1)*H49,0)</f>
        <v>0</v>
      </c>
      <c r="J49" s="15"/>
      <c r="K49" s="25">
        <f>VLOOKUP($C$3,Q40:BF45,33,0)</f>
        <v>0</v>
      </c>
      <c r="L49" s="25">
        <f>VLOOKUP($C$3,Q40:BF45,34,0)</f>
        <v>0</v>
      </c>
      <c r="M49" s="28">
        <f>IF(K49=0,0,VLOOKUP($C$3,Q40:BH45,43,0))</f>
        <v>0</v>
      </c>
      <c r="N49" s="28">
        <f t="shared" si="6"/>
        <v>0</v>
      </c>
      <c r="O49" s="2"/>
    </row>
    <row r="50" spans="1:15" x14ac:dyDescent="0.55000000000000004">
      <c r="A50" s="4"/>
      <c r="B50" s="51" t="s">
        <v>3</v>
      </c>
      <c r="C50" s="51" t="s">
        <v>4</v>
      </c>
      <c r="D50" s="51" t="str">
        <f>$D$20</f>
        <v>下水道（有）</v>
      </c>
      <c r="E50" s="51" t="s">
        <v>11</v>
      </c>
      <c r="F50" s="25">
        <f>VLOOKUP($B$21,$Q$40:$AA$45,11,0)</f>
        <v>301</v>
      </c>
      <c r="G50" s="25">
        <f>VLOOKUP($B$21,$Q$40:$AB$45,12,0)</f>
        <v>99999</v>
      </c>
      <c r="H50" s="28">
        <f>VLOOKUP($B$21,$Q$40:$AG$45,17,0)</f>
        <v>336</v>
      </c>
      <c r="I50" s="28">
        <f>MAX((MIN(G50,$C$4)-F50+1)*H50,0)</f>
        <v>0</v>
      </c>
      <c r="J50" s="4"/>
      <c r="K50" s="25">
        <f>VLOOKUP($C$3,Q40:BF45,35,0)</f>
        <v>0</v>
      </c>
      <c r="L50" s="25">
        <f>VLOOKUP($C$3,Q40:BF45,36,0)</f>
        <v>0</v>
      </c>
      <c r="M50" s="28">
        <f>IF(K50=0,0,VLOOKUP($C$3,Q40:BH45,44,0))</f>
        <v>0</v>
      </c>
      <c r="N50" s="28">
        <f>MAX((MIN(L50,$C$4)-K50+1)*M50,0)</f>
        <v>0</v>
      </c>
      <c r="O50" s="2"/>
    </row>
    <row r="51" spans="1:15" x14ac:dyDescent="0.55000000000000004">
      <c r="A51" s="4"/>
      <c r="B51" s="49" t="str">
        <f>B35</f>
        <v>家庭用</v>
      </c>
      <c r="C51" s="50">
        <f>C48-C37</f>
        <v>315</v>
      </c>
      <c r="D51" s="50">
        <f>D48-D37</f>
        <v>112</v>
      </c>
      <c r="E51" s="50">
        <f>E48-E37</f>
        <v>427</v>
      </c>
      <c r="F51" s="55" t="str">
        <f>IF(B46="船舶用","※1m3につき　445円",IF(B46="臨時用","※1m3につき 643円（税抜）",""))</f>
        <v/>
      </c>
      <c r="G51" s="47"/>
      <c r="H51" s="48"/>
      <c r="I51" s="4"/>
      <c r="J51" s="4"/>
      <c r="K51" s="4"/>
      <c r="L51" s="4"/>
      <c r="M51" s="4"/>
      <c r="N51" s="4"/>
      <c r="O51" s="2"/>
    </row>
    <row r="52" spans="1:15" x14ac:dyDescent="0.55000000000000004">
      <c r="A52" s="2"/>
      <c r="B52" s="46"/>
      <c r="C52" s="2"/>
      <c r="D52" s="2"/>
      <c r="E52" s="2"/>
      <c r="F52" s="4"/>
      <c r="G52" s="4"/>
      <c r="H52" s="4"/>
      <c r="I52" s="4"/>
      <c r="J52" s="4"/>
      <c r="K52" s="4"/>
      <c r="L52" s="4"/>
      <c r="M52" s="4"/>
      <c r="N52" s="4"/>
      <c r="O52" s="2"/>
    </row>
    <row r="53" spans="1:15" x14ac:dyDescent="0.55000000000000004">
      <c r="A53" s="2"/>
      <c r="B53" s="2"/>
      <c r="C53" s="2"/>
      <c r="D53" s="2"/>
      <c r="E53" s="2"/>
      <c r="F53" s="4"/>
      <c r="G53" s="4"/>
      <c r="H53" s="4"/>
      <c r="I53" s="4"/>
      <c r="J53" s="4"/>
      <c r="K53" s="4"/>
      <c r="L53" s="4"/>
      <c r="M53" s="4"/>
      <c r="N53" s="4"/>
      <c r="O53" s="2"/>
    </row>
    <row r="54" spans="1:15" x14ac:dyDescent="0.55000000000000004">
      <c r="A54" s="2"/>
      <c r="B54" s="2"/>
      <c r="C54" s="2"/>
      <c r="D54" s="2"/>
      <c r="E54" s="2"/>
      <c r="F54" s="4"/>
      <c r="G54" s="4"/>
      <c r="H54" s="4"/>
      <c r="I54" s="4"/>
      <c r="J54" s="4"/>
      <c r="K54" s="4"/>
      <c r="L54" s="4"/>
      <c r="M54" s="4"/>
      <c r="N54" s="4"/>
      <c r="O54" s="2"/>
    </row>
  </sheetData>
  <sheetProtection algorithmName="SHA-512" hashValue="EuICgr733rOmFnzj9KShI1v/fHkAmNll6hH+7lC5od86d19G7eDd61mIhSp9ZnxGDA/m1eThVbJEJaYtZsn8WQ==" saltValue="/UNZ/37gfm15oBS8srkJIw==" spinCount="100000" sheet="1" objects="1" scenarios="1"/>
  <mergeCells count="29">
    <mergeCell ref="B2:G2"/>
    <mergeCell ref="B7:E7"/>
    <mergeCell ref="F7:H8"/>
    <mergeCell ref="B30:E30"/>
    <mergeCell ref="D3:G3"/>
    <mergeCell ref="D4:G4"/>
    <mergeCell ref="D5:G5"/>
    <mergeCell ref="F26:I26"/>
    <mergeCell ref="B49:E49"/>
    <mergeCell ref="B38:E38"/>
    <mergeCell ref="B31:E31"/>
    <mergeCell ref="K7:M8"/>
    <mergeCell ref="B8:E8"/>
    <mergeCell ref="F32:H33"/>
    <mergeCell ref="K18:M19"/>
    <mergeCell ref="K29:M30"/>
    <mergeCell ref="F18:H19"/>
    <mergeCell ref="B18:E18"/>
    <mergeCell ref="B19:E19"/>
    <mergeCell ref="B24:E24"/>
    <mergeCell ref="I29:I30"/>
    <mergeCell ref="B32:E32"/>
    <mergeCell ref="B33:E33"/>
    <mergeCell ref="F15:I15"/>
    <mergeCell ref="I40:I41"/>
    <mergeCell ref="B43:E43"/>
    <mergeCell ref="F43:H44"/>
    <mergeCell ref="K40:M41"/>
    <mergeCell ref="B44:E44"/>
  </mergeCells>
  <phoneticPr fontId="1"/>
  <conditionalFormatting sqref="B38:E38">
    <cfRule type="expression" priority="13">
      <formula>$B$38:$E$40=""</formula>
    </cfRule>
  </conditionalFormatting>
  <conditionalFormatting sqref="B49:E49">
    <cfRule type="expression" priority="2">
      <formula>$B$38:$E$40=""</formula>
    </cfRule>
  </conditionalFormatting>
  <conditionalFormatting sqref="E51">
    <cfRule type="containsBlanks" dxfId="0" priority="1">
      <formula>LEN(TRIM(E51))=0</formula>
    </cfRule>
  </conditionalFormatting>
  <dataValidations count="2">
    <dataValidation type="list" allowBlank="1" showInputMessage="1" showErrorMessage="1" sqref="C3">
      <formula1>"家庭用,営業用,官公署用,基地用,船舶用,臨時用"</formula1>
    </dataValidation>
    <dataValidation type="list" allowBlank="1" showInputMessage="1" showErrorMessage="1" sqref="C5">
      <formula1>"下水道（有）,下水道（無）"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計算表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末吉　直美</dc:creator>
  <cp:lastModifiedBy>末吉　直美</cp:lastModifiedBy>
  <dcterms:created xsi:type="dcterms:W3CDTF">2024-12-09T07:16:38Z</dcterms:created>
  <dcterms:modified xsi:type="dcterms:W3CDTF">2026-01-19T02:36:01Z</dcterms:modified>
</cp:coreProperties>
</file>